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version Factors" sheetId="1" r:id="rId1"/>
    <sheet name="Miscellaneous Conversions" sheetId="2" r:id="rId2"/>
    <sheet name="Useful Constants" sheetId="3" r:id="rId3"/>
  </sheets>
  <definedNames>
    <definedName name="_xlnm.Print_Area" localSheetId="0">'Conversion Factors'!$B$2:$K$101</definedName>
    <definedName name="_xlnm.Print_Area" localSheetId="1">'Miscellaneous Conversions'!$B$2:$E$30</definedName>
    <definedName name="_xlnm.Print_Area" localSheetId="2">'Useful Constants'!$B$2:$E$18</definedName>
  </definedNames>
  <calcPr fullCalcOnLoad="1"/>
</workbook>
</file>

<file path=xl/sharedStrings.xml><?xml version="1.0" encoding="utf-8"?>
<sst xmlns="http://schemas.openxmlformats.org/spreadsheetml/2006/main" count="223" uniqueCount="149">
  <si>
    <t>Frequently Used Conversion Factors</t>
  </si>
  <si>
    <t>To Obtain</t>
  </si>
  <si>
    <t>Enter</t>
  </si>
  <si>
    <t>LENGTH</t>
  </si>
  <si>
    <t>m</t>
  </si>
  <si>
    <t>cm</t>
  </si>
  <si>
    <t>in</t>
  </si>
  <si>
    <t>ft</t>
  </si>
  <si>
    <t>AREA</t>
  </si>
  <si>
    <t>VOLUME</t>
  </si>
  <si>
    <t>MASS</t>
  </si>
  <si>
    <t>FORCE</t>
  </si>
  <si>
    <t>VOLUMETRIC FLOW</t>
  </si>
  <si>
    <t>MASS FLOW</t>
  </si>
  <si>
    <t>DENSITY</t>
  </si>
  <si>
    <t>ENERGY</t>
  </si>
  <si>
    <t>POWER</t>
  </si>
  <si>
    <t>PRESSURE</t>
  </si>
  <si>
    <t>liters</t>
  </si>
  <si>
    <t>gal</t>
  </si>
  <si>
    <t>g</t>
  </si>
  <si>
    <t>kg</t>
  </si>
  <si>
    <t>lbm</t>
  </si>
  <si>
    <t>short ton</t>
  </si>
  <si>
    <t>metric ton</t>
  </si>
  <si>
    <t>newton</t>
  </si>
  <si>
    <t>dyne</t>
  </si>
  <si>
    <t>kgf</t>
  </si>
  <si>
    <t>lbf</t>
  </si>
  <si>
    <t>cm/sec</t>
  </si>
  <si>
    <t>ft/sec</t>
  </si>
  <si>
    <t>ft/min</t>
  </si>
  <si>
    <t>LINEAR VELOCITY</t>
  </si>
  <si>
    <t>ANGULAR VELOCITY</t>
  </si>
  <si>
    <t>rpm</t>
  </si>
  <si>
    <t>rad/sec</t>
  </si>
  <si>
    <t>liters/sec</t>
  </si>
  <si>
    <t>gal/min</t>
  </si>
  <si>
    <t>metric ton/hr</t>
  </si>
  <si>
    <t>short ton/hr</t>
  </si>
  <si>
    <t>lb/min</t>
  </si>
  <si>
    <t>kg/min</t>
  </si>
  <si>
    <t>kWh</t>
  </si>
  <si>
    <t>joule</t>
  </si>
  <si>
    <t>kgf m</t>
  </si>
  <si>
    <t>ft lbf</t>
  </si>
  <si>
    <t>kW</t>
  </si>
  <si>
    <t>hp</t>
  </si>
  <si>
    <t>SPECIFIC ENERGY</t>
  </si>
  <si>
    <t>kWh/mton</t>
  </si>
  <si>
    <t>kWh/ston</t>
  </si>
  <si>
    <t>hphr/ston</t>
  </si>
  <si>
    <t>psi</t>
  </si>
  <si>
    <t>m H2O</t>
  </si>
  <si>
    <r>
      <t>cm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</si>
  <si>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</si>
  <si>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r>
      <t>in</t>
    </r>
    <r>
      <rPr>
        <b/>
        <vertAlign val="superscript"/>
        <sz val="10"/>
        <rFont val="Arial"/>
        <family val="2"/>
      </rPr>
      <t>2</t>
    </r>
  </si>
  <si>
    <r>
      <t>ft</t>
    </r>
    <r>
      <rPr>
        <b/>
        <vertAlign val="superscript"/>
        <sz val="10"/>
        <rFont val="Arial"/>
        <family val="2"/>
      </rPr>
      <t>2</t>
    </r>
  </si>
  <si>
    <r>
      <t>cm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</si>
  <si>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3</t>
    </r>
  </si>
  <si>
    <r>
      <t>ft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</si>
  <si>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/hr</t>
    </r>
  </si>
  <si>
    <r>
      <t>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</t>
    </r>
  </si>
  <si>
    <r>
      <t>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/min</t>
    </r>
  </si>
  <si>
    <r>
      <t>g/cm</t>
    </r>
    <r>
      <rPr>
        <b/>
        <vertAlign val="superscript"/>
        <sz val="10"/>
        <rFont val="Arial"/>
        <family val="2"/>
      </rPr>
      <t>3</t>
    </r>
  </si>
  <si>
    <r>
      <t>metric ton/m</t>
    </r>
    <r>
      <rPr>
        <b/>
        <vertAlign val="superscript"/>
        <sz val="10"/>
        <rFont val="Arial"/>
        <family val="2"/>
      </rPr>
      <t>3</t>
    </r>
  </si>
  <si>
    <r>
      <t>lb/ft</t>
    </r>
    <r>
      <rPr>
        <b/>
        <vertAlign val="superscript"/>
        <sz val="10"/>
        <rFont val="Arial"/>
        <family val="2"/>
      </rPr>
      <t>3</t>
    </r>
  </si>
  <si>
    <t>TEMPERATURE</t>
  </si>
  <si>
    <t>°C</t>
  </si>
  <si>
    <t>°F</t>
  </si>
  <si>
    <t>hphr/mton</t>
  </si>
  <si>
    <t>mm Hg</t>
  </si>
  <si>
    <t>kPa</t>
  </si>
  <si>
    <t>Useful Constants &amp; Data</t>
  </si>
  <si>
    <r>
      <t>10</t>
    </r>
    <r>
      <rPr>
        <vertAlign val="superscript"/>
        <sz val="10"/>
        <rFont val="Arial"/>
        <family val="2"/>
      </rPr>
      <t>-8</t>
    </r>
    <r>
      <rPr>
        <sz val="10"/>
        <rFont val="Arial"/>
        <family val="0"/>
      </rPr>
      <t xml:space="preserve"> cm</t>
    </r>
  </si>
  <si>
    <t>0.001 mm</t>
  </si>
  <si>
    <t>0.001 in</t>
  </si>
  <si>
    <t>3 feet</t>
  </si>
  <si>
    <t>1.61 km</t>
  </si>
  <si>
    <r>
      <t>4047 m</t>
    </r>
    <r>
      <rPr>
        <vertAlign val="superscript"/>
        <sz val="10"/>
        <rFont val="Arial"/>
        <family val="2"/>
      </rPr>
      <t>2</t>
    </r>
  </si>
  <si>
    <r>
      <t>43560 ft</t>
    </r>
    <r>
      <rPr>
        <vertAlign val="superscript"/>
        <sz val="10"/>
        <rFont val="Arial"/>
        <family val="2"/>
      </rPr>
      <t>2</t>
    </r>
  </si>
  <si>
    <r>
      <t>1 g(mass) cm/sec</t>
    </r>
    <r>
      <rPr>
        <vertAlign val="superscript"/>
        <sz val="10"/>
        <rFont val="Arial"/>
        <family val="2"/>
      </rPr>
      <t>2</t>
    </r>
  </si>
  <si>
    <r>
      <t>1 kg(mass) m/sec</t>
    </r>
    <r>
      <rPr>
        <vertAlign val="superscript"/>
        <sz val="10"/>
        <rFont val="Arial"/>
        <family val="2"/>
      </rPr>
      <t>2</t>
    </r>
  </si>
  <si>
    <t>100,000 dynes</t>
  </si>
  <si>
    <t>Angstrom</t>
  </si>
  <si>
    <t>micron</t>
  </si>
  <si>
    <t>mil</t>
  </si>
  <si>
    <t>yard</t>
  </si>
  <si>
    <t>mile</t>
  </si>
  <si>
    <t>acre</t>
  </si>
  <si>
    <t>Newton</t>
  </si>
  <si>
    <t>°K</t>
  </si>
  <si>
    <t>°R</t>
  </si>
  <si>
    <t>erg</t>
  </si>
  <si>
    <t>1 dyne cm</t>
  </si>
  <si>
    <r>
      <t>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joule</t>
    </r>
  </si>
  <si>
    <t>1 newton m</t>
  </si>
  <si>
    <t>Bar</t>
  </si>
  <si>
    <t>0.98692 atm</t>
  </si>
  <si>
    <t>atm</t>
  </si>
  <si>
    <r>
      <t>1.033 kg/cm</t>
    </r>
    <r>
      <rPr>
        <vertAlign val="superscript"/>
        <sz val="10"/>
        <rFont val="Arial"/>
        <family val="2"/>
      </rPr>
      <t>2</t>
    </r>
  </si>
  <si>
    <t>poise</t>
  </si>
  <si>
    <t>1 gr(mass) / cm sec</t>
  </si>
  <si>
    <t>0.0672 lb(mass) / ft sec</t>
  </si>
  <si>
    <t>joule/m</t>
  </si>
  <si>
    <t>0.102 kg (force)</t>
  </si>
  <si>
    <t>ounce</t>
  </si>
  <si>
    <t>28.35 gr</t>
  </si>
  <si>
    <t>tons (long)</t>
  </si>
  <si>
    <t>1016 kg</t>
  </si>
  <si>
    <t>0.000293 kWh</t>
  </si>
  <si>
    <t>BTU</t>
  </si>
  <si>
    <t>calories/sec</t>
  </si>
  <si>
    <t>4.183 Watts</t>
  </si>
  <si>
    <t>Miscellaneous Conversions</t>
  </si>
  <si>
    <t>Equivalence</t>
  </si>
  <si>
    <t>Unit of Measurement</t>
  </si>
  <si>
    <t>Constant Name</t>
  </si>
  <si>
    <t>Value</t>
  </si>
  <si>
    <t>Light Velocity</t>
  </si>
  <si>
    <t>299800 km/sec</t>
  </si>
  <si>
    <t>Sound Velocity (air 20°C, 1 atm)</t>
  </si>
  <si>
    <t>344 m/sec</t>
  </si>
  <si>
    <t>1238 km/hr</t>
  </si>
  <si>
    <t>e</t>
  </si>
  <si>
    <t>ln(x)</t>
  </si>
  <si>
    <t>2.3026 log(x)</t>
  </si>
  <si>
    <r>
      <t>9.807 m/sec</t>
    </r>
    <r>
      <rPr>
        <vertAlign val="superscript"/>
        <sz val="10"/>
        <rFont val="Arial"/>
        <family val="2"/>
      </rPr>
      <t>2</t>
    </r>
  </si>
  <si>
    <t>Avogadro's Number</t>
  </si>
  <si>
    <r>
      <t>6.023 x 10</t>
    </r>
    <r>
      <rPr>
        <vertAlign val="superscript"/>
        <sz val="10"/>
        <rFont val="Arial"/>
        <family val="2"/>
      </rPr>
      <t>23</t>
    </r>
    <r>
      <rPr>
        <sz val="10"/>
        <rFont val="Arial"/>
        <family val="0"/>
      </rPr>
      <t xml:space="preserve"> molecules/g mole</t>
    </r>
  </si>
  <si>
    <t xml:space="preserve">p </t>
  </si>
  <si>
    <t>3.14159265358979323846264338</t>
  </si>
  <si>
    <r>
      <t>62.32 lb/ft</t>
    </r>
    <r>
      <rPr>
        <vertAlign val="superscript"/>
        <sz val="10"/>
        <rFont val="Arial"/>
        <family val="2"/>
      </rPr>
      <t>3</t>
    </r>
  </si>
  <si>
    <t>0.01002 poise</t>
  </si>
  <si>
    <t>Water Density (20°C)</t>
  </si>
  <si>
    <t>Water Viscosity (20°C)</t>
  </si>
  <si>
    <t>Air Density (20°C, 760 mmHg)</t>
  </si>
  <si>
    <t>1.293 gr/liter</t>
  </si>
  <si>
    <r>
      <t>0.0808 lb/ft</t>
    </r>
    <r>
      <rPr>
        <vertAlign val="superscript"/>
        <sz val="10"/>
        <rFont val="Arial"/>
        <family val="2"/>
      </rPr>
      <t>3</t>
    </r>
  </si>
  <si>
    <t>Acceleration of Gravity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</si>
  <si>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</si>
  <si>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r>
      <t>kgf/cm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(atm)</t>
    </r>
  </si>
  <si>
    <t>oz troy</t>
  </si>
  <si>
    <t>VISCOSITY</t>
  </si>
  <si>
    <t>Poises</t>
  </si>
  <si>
    <r>
      <t>newton s /m</t>
    </r>
    <r>
      <rPr>
        <b/>
        <vertAlign val="superscript"/>
        <sz val="10"/>
        <rFont val="Arial"/>
        <family val="2"/>
      </rPr>
      <t>2</t>
    </r>
  </si>
  <si>
    <r>
      <t>lbf sec /ft</t>
    </r>
    <r>
      <rPr>
        <b/>
        <vertAlign val="superscript"/>
        <sz val="10"/>
        <rFont val="Arial"/>
        <family val="2"/>
      </rPr>
      <t>2</t>
    </r>
  </si>
  <si>
    <t>°C + 273.15</t>
  </si>
  <si>
    <t>°F + 459.67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</si>
</sst>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\ \ "/>
    <numFmt numFmtId="171" formatCode="0.0\ \ "/>
    <numFmt numFmtId="172" formatCode="0\ \ "/>
    <numFmt numFmtId="173" formatCode="0.0"/>
    <numFmt numFmtId="174" formatCode="0.000"/>
    <numFmt numFmtId="175" formatCode="0.000\ \ "/>
    <numFmt numFmtId="176" formatCode="0.00\ \ \ "/>
    <numFmt numFmtId="177" formatCode="0.000\ \ \ "/>
    <numFmt numFmtId="178" formatCode="#,##0\ "/>
    <numFmt numFmtId="179" formatCode="#,##0.0\ "/>
    <numFmt numFmtId="180" formatCode="#,##0.00\ "/>
    <numFmt numFmtId="181" formatCode="#,##0.000\ "/>
    <numFmt numFmtId="182" formatCode="#,##0.0000\ "/>
    <numFmt numFmtId="183" formatCode="#,##0.00000\ "/>
  </numFmts>
  <fonts count="1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i/>
      <sz val="8"/>
      <color indexed="18"/>
      <name val="Comic Sans MS"/>
      <family val="4"/>
    </font>
    <font>
      <b/>
      <i/>
      <sz val="10"/>
      <color indexed="1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183" fontId="0" fillId="5" borderId="8" xfId="0" applyNumberFormat="1" applyFill="1" applyBorder="1" applyAlignment="1" applyProtection="1">
      <alignment/>
      <protection locked="0"/>
    </xf>
    <xf numFmtId="183" fontId="0" fillId="2" borderId="0" xfId="0" applyNumberFormat="1" applyFill="1" applyBorder="1" applyAlignment="1" applyProtection="1">
      <alignment/>
      <protection locked="0"/>
    </xf>
    <xf numFmtId="183" fontId="0" fillId="6" borderId="8" xfId="0" applyNumberFormat="1" applyFill="1" applyBorder="1" applyAlignment="1" applyProtection="1">
      <alignment/>
      <protection locked="0"/>
    </xf>
    <xf numFmtId="178" fontId="0" fillId="2" borderId="0" xfId="0" applyNumberFormat="1" applyFill="1" applyBorder="1" applyAlignment="1" applyProtection="1">
      <alignment/>
      <protection locked="0"/>
    </xf>
    <xf numFmtId="178" fontId="0" fillId="3" borderId="7" xfId="0" applyNumberFormat="1" applyFill="1" applyBorder="1" applyAlignment="1" applyProtection="1">
      <alignment/>
      <protection locked="0"/>
    </xf>
    <xf numFmtId="178" fontId="1" fillId="4" borderId="8" xfId="0" applyNumberFormat="1" applyFont="1" applyFill="1" applyBorder="1" applyAlignment="1" applyProtection="1">
      <alignment horizontal="center"/>
      <protection locked="0"/>
    </xf>
    <xf numFmtId="178" fontId="0" fillId="6" borderId="8" xfId="0" applyNumberFormat="1" applyFill="1" applyBorder="1" applyAlignment="1" applyProtection="1">
      <alignment/>
      <protection locked="0"/>
    </xf>
    <xf numFmtId="182" fontId="0" fillId="5" borderId="8" xfId="0" applyNumberFormat="1" applyFill="1" applyBorder="1" applyAlignment="1" applyProtection="1">
      <alignment/>
      <protection locked="0"/>
    </xf>
    <xf numFmtId="180" fontId="0" fillId="5" borderId="8" xfId="0" applyNumberForma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183" fontId="0" fillId="4" borderId="8" xfId="0" applyNumberFormat="1" applyFill="1" applyBorder="1" applyAlignment="1" applyProtection="1">
      <alignment/>
      <protection/>
    </xf>
    <xf numFmtId="183" fontId="0" fillId="6" borderId="8" xfId="0" applyNumberFormat="1" applyFill="1" applyBorder="1" applyAlignment="1" applyProtection="1">
      <alignment/>
      <protection/>
    </xf>
    <xf numFmtId="180" fontId="0" fillId="4" borderId="8" xfId="0" applyNumberFormat="1" applyFill="1" applyBorder="1" applyAlignment="1" applyProtection="1">
      <alignment/>
      <protection/>
    </xf>
    <xf numFmtId="180" fontId="0" fillId="6" borderId="8" xfId="0" applyNumberForma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left"/>
      <protection/>
    </xf>
    <xf numFmtId="183" fontId="0" fillId="5" borderId="8" xfId="0" applyNumberFormat="1" applyFill="1" applyBorder="1" applyAlignment="1" applyProtection="1">
      <alignment horizontal="right"/>
      <protection/>
    </xf>
    <xf numFmtId="183" fontId="0" fillId="5" borderId="8" xfId="0" applyNumberFormat="1" applyFill="1" applyBorder="1" applyAlignment="1" applyProtection="1" quotePrefix="1">
      <alignment horizontal="right"/>
      <protection/>
    </xf>
    <xf numFmtId="0" fontId="9" fillId="4" borderId="8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</xdr:row>
      <xdr:rowOff>95250</xdr:rowOff>
    </xdr:from>
    <xdr:to>
      <xdr:col>3</xdr:col>
      <xdr:colOff>352425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790575" y="8953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</xdr:row>
      <xdr:rowOff>95250</xdr:rowOff>
    </xdr:from>
    <xdr:to>
      <xdr:col>3</xdr:col>
      <xdr:colOff>352425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495425" y="895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85725</xdr:rowOff>
    </xdr:from>
    <xdr:to>
      <xdr:col>5</xdr:col>
      <xdr:colOff>438150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2847975" y="885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4</xdr:row>
      <xdr:rowOff>85725</xdr:rowOff>
    </xdr:from>
    <xdr:to>
      <xdr:col>5</xdr:col>
      <xdr:colOff>438150</xdr:colOff>
      <xdr:row>6</xdr:row>
      <xdr:rowOff>95250</xdr:rowOff>
    </xdr:to>
    <xdr:sp>
      <xdr:nvSpPr>
        <xdr:cNvPr id="4" name="Line 4"/>
        <xdr:cNvSpPr>
          <a:spLocks/>
        </xdr:cNvSpPr>
      </xdr:nvSpPr>
      <xdr:spPr>
        <a:xfrm>
          <a:off x="3209925" y="885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971550</xdr:colOff>
      <xdr:row>1</xdr:row>
      <xdr:rowOff>47625</xdr:rowOff>
    </xdr:from>
    <xdr:to>
      <xdr:col>10</xdr:col>
      <xdr:colOff>9525</xdr:colOff>
      <xdr:row>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42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1"/>
  <sheetViews>
    <sheetView tabSelected="1" workbookViewId="0" topLeftCell="A75">
      <selection activeCell="G95" sqref="G95"/>
    </sheetView>
  </sheetViews>
  <sheetFormatPr defaultColWidth="11.421875" defaultRowHeight="12.75"/>
  <cols>
    <col min="1" max="2" width="1.7109375" style="1" customWidth="1"/>
    <col min="3" max="3" width="13.7109375" style="1" customWidth="1"/>
    <col min="4" max="4" width="15.7109375" style="1" customWidth="1"/>
    <col min="5" max="5" width="8.7109375" style="1" customWidth="1"/>
    <col min="6" max="10" width="15.7109375" style="1" customWidth="1"/>
    <col min="11" max="11" width="1.7109375" style="1" customWidth="1"/>
    <col min="12" max="16384" width="9.140625" style="1" customWidth="1"/>
  </cols>
  <sheetData>
    <row r="1" ht="7.5" customHeight="1" thickBot="1"/>
    <row r="2" spans="2:11" ht="24.75" customHeight="1" thickTop="1">
      <c r="B2" s="2"/>
      <c r="C2" s="3" t="s">
        <v>140</v>
      </c>
      <c r="D2" s="4"/>
      <c r="E2" s="4"/>
      <c r="F2" s="4"/>
      <c r="G2" s="4"/>
      <c r="H2" s="4"/>
      <c r="I2" s="4"/>
      <c r="J2" s="5"/>
      <c r="K2" s="6"/>
    </row>
    <row r="3" spans="2:11" ht="18">
      <c r="B3" s="7"/>
      <c r="C3" s="35" t="s">
        <v>0</v>
      </c>
      <c r="D3" s="35"/>
      <c r="E3" s="35"/>
      <c r="F3" s="35"/>
      <c r="G3" s="35"/>
      <c r="H3" s="35"/>
      <c r="I3" s="35"/>
      <c r="J3" s="35"/>
      <c r="K3" s="8"/>
    </row>
    <row r="4" spans="2:11" ht="12.75">
      <c r="B4" s="7"/>
      <c r="C4" s="9"/>
      <c r="D4" s="9"/>
      <c r="E4" s="9"/>
      <c r="F4" s="9"/>
      <c r="G4" s="9"/>
      <c r="H4" s="9"/>
      <c r="I4" s="9"/>
      <c r="J4" s="9"/>
      <c r="K4" s="8"/>
    </row>
    <row r="5" spans="2:11" ht="12.75">
      <c r="B5" s="7"/>
      <c r="C5" s="10" t="s">
        <v>2</v>
      </c>
      <c r="D5" s="9"/>
      <c r="E5" s="10" t="s">
        <v>1</v>
      </c>
      <c r="F5" s="9"/>
      <c r="G5" s="9"/>
      <c r="H5" s="9"/>
      <c r="I5" s="9"/>
      <c r="J5" s="9"/>
      <c r="K5" s="8"/>
    </row>
    <row r="6" spans="2:11" ht="12.75">
      <c r="B6" s="7"/>
      <c r="C6" s="9"/>
      <c r="D6" s="9"/>
      <c r="E6" s="9"/>
      <c r="F6" s="9"/>
      <c r="G6" s="9"/>
      <c r="H6" s="9"/>
      <c r="I6" s="9"/>
      <c r="J6" s="9"/>
      <c r="K6" s="8"/>
    </row>
    <row r="7" spans="2:11" ht="12.75">
      <c r="B7" s="7"/>
      <c r="C7" s="9"/>
      <c r="D7" s="9"/>
      <c r="E7" s="9"/>
      <c r="F7" s="9"/>
      <c r="G7" s="9"/>
      <c r="H7" s="9"/>
      <c r="I7" s="9"/>
      <c r="J7" s="9"/>
      <c r="K7" s="8"/>
    </row>
    <row r="8" spans="2:11" ht="12.75">
      <c r="B8" s="7"/>
      <c r="C8" s="11" t="s">
        <v>3</v>
      </c>
      <c r="D8" s="12"/>
      <c r="E8" s="9"/>
      <c r="F8" s="13" t="s">
        <v>5</v>
      </c>
      <c r="G8" s="13" t="s">
        <v>4</v>
      </c>
      <c r="H8" s="13" t="s">
        <v>6</v>
      </c>
      <c r="I8" s="13" t="s">
        <v>7</v>
      </c>
      <c r="J8" s="13"/>
      <c r="K8" s="8"/>
    </row>
    <row r="9" spans="2:11" ht="12.75">
      <c r="B9" s="7"/>
      <c r="C9" s="13" t="s">
        <v>5</v>
      </c>
      <c r="D9" s="14">
        <v>1</v>
      </c>
      <c r="E9" s="15"/>
      <c r="F9" s="26">
        <f>$D9*1</f>
        <v>1</v>
      </c>
      <c r="G9" s="27">
        <f>$D9*0.01</f>
        <v>0.01</v>
      </c>
      <c r="H9" s="27">
        <f>$D9*0.3937</f>
        <v>0.3937</v>
      </c>
      <c r="I9" s="27">
        <f>$D9*0.03281</f>
        <v>0.03281</v>
      </c>
      <c r="J9" s="16"/>
      <c r="K9" s="8"/>
    </row>
    <row r="10" spans="2:11" ht="12.75">
      <c r="B10" s="7"/>
      <c r="C10" s="13" t="s">
        <v>4</v>
      </c>
      <c r="D10" s="14">
        <v>1</v>
      </c>
      <c r="E10" s="15"/>
      <c r="F10" s="27">
        <f>$D10*100</f>
        <v>100</v>
      </c>
      <c r="G10" s="26">
        <f>$D10*1</f>
        <v>1</v>
      </c>
      <c r="H10" s="27">
        <f>$D10*39.37</f>
        <v>39.37</v>
      </c>
      <c r="I10" s="27">
        <f>$D10*3.281</f>
        <v>3.281</v>
      </c>
      <c r="J10" s="16"/>
      <c r="K10" s="8"/>
    </row>
    <row r="11" spans="2:11" ht="12.75">
      <c r="B11" s="7"/>
      <c r="C11" s="13" t="s">
        <v>6</v>
      </c>
      <c r="D11" s="14">
        <v>1</v>
      </c>
      <c r="E11" s="15"/>
      <c r="F11" s="27">
        <f>$D11*2.54</f>
        <v>2.54</v>
      </c>
      <c r="G11" s="27">
        <f>$D11*0.0254</f>
        <v>0.0254</v>
      </c>
      <c r="H11" s="26">
        <f>$D11*1</f>
        <v>1</v>
      </c>
      <c r="I11" s="27">
        <f>$D11*0.08333</f>
        <v>0.08333</v>
      </c>
      <c r="J11" s="16"/>
      <c r="K11" s="8"/>
    </row>
    <row r="12" spans="2:11" ht="12.75">
      <c r="B12" s="7"/>
      <c r="C12" s="13" t="s">
        <v>7</v>
      </c>
      <c r="D12" s="14">
        <v>1</v>
      </c>
      <c r="E12" s="15"/>
      <c r="F12" s="27">
        <f>$D12*30.48</f>
        <v>30.48</v>
      </c>
      <c r="G12" s="27">
        <f>$D12*0.3048</f>
        <v>0.3048</v>
      </c>
      <c r="H12" s="27">
        <f>$D12*12</f>
        <v>12</v>
      </c>
      <c r="I12" s="26">
        <f>$D12*1</f>
        <v>1</v>
      </c>
      <c r="J12" s="16"/>
      <c r="K12" s="8"/>
    </row>
    <row r="13" spans="2:11" ht="12.75">
      <c r="B13" s="7"/>
      <c r="C13" s="9"/>
      <c r="D13" s="17"/>
      <c r="E13" s="17"/>
      <c r="F13" s="17"/>
      <c r="G13" s="17"/>
      <c r="H13" s="17"/>
      <c r="I13" s="17"/>
      <c r="J13" s="17"/>
      <c r="K13" s="8"/>
    </row>
    <row r="14" spans="2:11" ht="14.25">
      <c r="B14" s="7"/>
      <c r="C14" s="11" t="s">
        <v>8</v>
      </c>
      <c r="D14" s="18"/>
      <c r="E14" s="17"/>
      <c r="F14" s="19" t="s">
        <v>54</v>
      </c>
      <c r="G14" s="19" t="s">
        <v>55</v>
      </c>
      <c r="H14" s="19" t="s">
        <v>56</v>
      </c>
      <c r="I14" s="19" t="s">
        <v>57</v>
      </c>
      <c r="J14" s="19"/>
      <c r="K14" s="8"/>
    </row>
    <row r="15" spans="2:11" ht="14.25">
      <c r="B15" s="7"/>
      <c r="C15" s="13" t="s">
        <v>54</v>
      </c>
      <c r="D15" s="14">
        <v>1</v>
      </c>
      <c r="E15" s="17"/>
      <c r="F15" s="26">
        <f>$D15*1</f>
        <v>1</v>
      </c>
      <c r="G15" s="27">
        <f>$D15*0.0001</f>
        <v>0.0001</v>
      </c>
      <c r="H15" s="27">
        <f>$D15*0.155</f>
        <v>0.155</v>
      </c>
      <c r="I15" s="27">
        <f>$D15*0.00108</f>
        <v>0.00108</v>
      </c>
      <c r="J15" s="16"/>
      <c r="K15" s="8"/>
    </row>
    <row r="16" spans="2:11" ht="14.25">
      <c r="B16" s="7"/>
      <c r="C16" s="13" t="s">
        <v>55</v>
      </c>
      <c r="D16" s="14">
        <v>1</v>
      </c>
      <c r="E16" s="17"/>
      <c r="F16" s="27">
        <f>$D16*10000</f>
        <v>10000</v>
      </c>
      <c r="G16" s="26">
        <f>$D16*1</f>
        <v>1</v>
      </c>
      <c r="H16" s="27">
        <f>$D16*1550</f>
        <v>1550</v>
      </c>
      <c r="I16" s="27">
        <f>$D16*10.76</f>
        <v>10.76</v>
      </c>
      <c r="J16" s="16"/>
      <c r="K16" s="8"/>
    </row>
    <row r="17" spans="2:11" ht="14.25">
      <c r="B17" s="7"/>
      <c r="C17" s="13" t="s">
        <v>56</v>
      </c>
      <c r="D17" s="14">
        <v>1</v>
      </c>
      <c r="E17" s="17"/>
      <c r="F17" s="27">
        <f>$D17*6.452</f>
        <v>6.452</v>
      </c>
      <c r="G17" s="27">
        <f>$D17*0.000645</f>
        <v>0.000645</v>
      </c>
      <c r="H17" s="26">
        <f>$D17*1</f>
        <v>1</v>
      </c>
      <c r="I17" s="27">
        <f>$D17*0.00694</f>
        <v>0.00694</v>
      </c>
      <c r="J17" s="16"/>
      <c r="K17" s="8"/>
    </row>
    <row r="18" spans="2:11" ht="14.25">
      <c r="B18" s="7"/>
      <c r="C18" s="13" t="s">
        <v>57</v>
      </c>
      <c r="D18" s="14">
        <v>1</v>
      </c>
      <c r="E18" s="17"/>
      <c r="F18" s="27">
        <f>$D18*929</f>
        <v>929</v>
      </c>
      <c r="G18" s="27">
        <f>$D18*0.0929</f>
        <v>0.0929</v>
      </c>
      <c r="H18" s="27">
        <f>$D18*144</f>
        <v>144</v>
      </c>
      <c r="I18" s="26">
        <f>$D18*1</f>
        <v>1</v>
      </c>
      <c r="J18" s="16"/>
      <c r="K18" s="8"/>
    </row>
    <row r="19" spans="2:11" ht="12.75">
      <c r="B19" s="7"/>
      <c r="C19" s="9"/>
      <c r="D19" s="17"/>
      <c r="E19" s="17"/>
      <c r="F19" s="17"/>
      <c r="G19" s="17"/>
      <c r="H19" s="17"/>
      <c r="I19" s="17"/>
      <c r="J19" s="17"/>
      <c r="K19" s="8"/>
    </row>
    <row r="20" spans="2:11" ht="14.25">
      <c r="B20" s="7"/>
      <c r="C20" s="11" t="s">
        <v>9</v>
      </c>
      <c r="D20" s="18"/>
      <c r="E20" s="17"/>
      <c r="F20" s="19" t="s">
        <v>58</v>
      </c>
      <c r="G20" s="19" t="s">
        <v>18</v>
      </c>
      <c r="H20" s="19" t="s">
        <v>59</v>
      </c>
      <c r="I20" s="19" t="s">
        <v>60</v>
      </c>
      <c r="J20" s="19" t="s">
        <v>19</v>
      </c>
      <c r="K20" s="8"/>
    </row>
    <row r="21" spans="2:11" ht="14.25">
      <c r="B21" s="7"/>
      <c r="C21" s="13" t="s">
        <v>58</v>
      </c>
      <c r="D21" s="14">
        <v>1</v>
      </c>
      <c r="E21" s="17"/>
      <c r="F21" s="26">
        <f>$D21*1</f>
        <v>1</v>
      </c>
      <c r="G21" s="27">
        <f>$D21*0.001</f>
        <v>0.001</v>
      </c>
      <c r="H21" s="27">
        <f>$D21*0.000001</f>
        <v>1E-06</v>
      </c>
      <c r="I21" s="27">
        <f>$D21*0.00003531</f>
        <v>3.531E-05</v>
      </c>
      <c r="J21" s="27">
        <f>$D21*0.0002642</f>
        <v>0.0002642</v>
      </c>
      <c r="K21" s="8"/>
    </row>
    <row r="22" spans="2:11" ht="12.75">
      <c r="B22" s="7"/>
      <c r="C22" s="13" t="s">
        <v>18</v>
      </c>
      <c r="D22" s="14">
        <v>1</v>
      </c>
      <c r="E22" s="17"/>
      <c r="F22" s="27">
        <f>$D22*1000</f>
        <v>1000</v>
      </c>
      <c r="G22" s="26">
        <f>$D22*1</f>
        <v>1</v>
      </c>
      <c r="H22" s="27">
        <f>$D22*0.001</f>
        <v>0.001</v>
      </c>
      <c r="I22" s="27">
        <f>$D22*0.03532</f>
        <v>0.03532</v>
      </c>
      <c r="J22" s="27">
        <f>$D22*0.2642</f>
        <v>0.2642</v>
      </c>
      <c r="K22" s="8"/>
    </row>
    <row r="23" spans="2:11" ht="14.25">
      <c r="B23" s="7"/>
      <c r="C23" s="13" t="s">
        <v>59</v>
      </c>
      <c r="D23" s="14">
        <v>100</v>
      </c>
      <c r="E23" s="17"/>
      <c r="F23" s="27">
        <f>$D23*1000000</f>
        <v>100000000</v>
      </c>
      <c r="G23" s="27">
        <f>$D23*1000</f>
        <v>100000</v>
      </c>
      <c r="H23" s="26">
        <f>$D23*1</f>
        <v>100</v>
      </c>
      <c r="I23" s="27">
        <f>$D23*35.31</f>
        <v>3531</v>
      </c>
      <c r="J23" s="27">
        <f>$D23*264.2</f>
        <v>26420</v>
      </c>
      <c r="K23" s="8"/>
    </row>
    <row r="24" spans="2:11" ht="14.25">
      <c r="B24" s="7"/>
      <c r="C24" s="13" t="s">
        <v>60</v>
      </c>
      <c r="D24" s="14">
        <v>1</v>
      </c>
      <c r="E24" s="17"/>
      <c r="F24" s="27">
        <f>$D24*28320.589</f>
        <v>28320.589</v>
      </c>
      <c r="G24" s="27">
        <f>$D24*28.32</f>
        <v>28.32</v>
      </c>
      <c r="H24" s="27">
        <f>$D24*0.02832</f>
        <v>0.02832</v>
      </c>
      <c r="I24" s="26">
        <f>$D24*1</f>
        <v>1</v>
      </c>
      <c r="J24" s="27">
        <f>$D24*7.481</f>
        <v>7.481</v>
      </c>
      <c r="K24" s="8"/>
    </row>
    <row r="25" spans="2:11" ht="12.75">
      <c r="B25" s="7"/>
      <c r="C25" s="13" t="s">
        <v>19</v>
      </c>
      <c r="D25" s="14">
        <v>26400</v>
      </c>
      <c r="E25" s="17"/>
      <c r="F25" s="27">
        <f>$D25*3785</f>
        <v>99924000</v>
      </c>
      <c r="G25" s="27">
        <f>$D25*3.785</f>
        <v>99924</v>
      </c>
      <c r="H25" s="27">
        <f>$D25*0.00379</f>
        <v>100.056</v>
      </c>
      <c r="I25" s="27">
        <f>$D25*0.1337</f>
        <v>3529.6800000000003</v>
      </c>
      <c r="J25" s="26">
        <f>$D25*1</f>
        <v>26400</v>
      </c>
      <c r="K25" s="8"/>
    </row>
    <row r="26" spans="2:11" ht="12.75">
      <c r="B26" s="7"/>
      <c r="C26" s="9"/>
      <c r="D26" s="17"/>
      <c r="E26" s="17"/>
      <c r="F26" s="17"/>
      <c r="G26" s="17"/>
      <c r="H26" s="17"/>
      <c r="I26" s="17"/>
      <c r="J26" s="17"/>
      <c r="K26" s="8"/>
    </row>
    <row r="27" spans="2:11" ht="12.75">
      <c r="B27" s="7"/>
      <c r="C27" s="11" t="s">
        <v>10</v>
      </c>
      <c r="D27" s="18"/>
      <c r="E27" s="17"/>
      <c r="F27" s="19" t="s">
        <v>20</v>
      </c>
      <c r="G27" s="19" t="s">
        <v>21</v>
      </c>
      <c r="H27" s="19" t="s">
        <v>22</v>
      </c>
      <c r="I27" s="19" t="s">
        <v>24</v>
      </c>
      <c r="J27" s="19" t="s">
        <v>23</v>
      </c>
      <c r="K27" s="8"/>
    </row>
    <row r="28" spans="2:11" ht="12.75">
      <c r="B28" s="7"/>
      <c r="C28" s="13" t="s">
        <v>20</v>
      </c>
      <c r="D28" s="14">
        <v>1</v>
      </c>
      <c r="E28" s="17"/>
      <c r="F28" s="26">
        <f>$D28*1</f>
        <v>1</v>
      </c>
      <c r="G28" s="27">
        <f>$D28*0.001</f>
        <v>0.001</v>
      </c>
      <c r="H28" s="27">
        <f>$D28*0.00220459</f>
        <v>0.00220459</v>
      </c>
      <c r="I28" s="27">
        <f>$D28*0.000001</f>
        <v>1E-06</v>
      </c>
      <c r="J28" s="27">
        <f>$D28*0.00000110229</f>
        <v>1.10229E-06</v>
      </c>
      <c r="K28" s="8"/>
    </row>
    <row r="29" spans="2:11" ht="12.75">
      <c r="B29" s="7"/>
      <c r="C29" s="13" t="s">
        <v>21</v>
      </c>
      <c r="D29" s="14">
        <v>1</v>
      </c>
      <c r="E29" s="17"/>
      <c r="F29" s="27">
        <f>$D29*1000</f>
        <v>1000</v>
      </c>
      <c r="G29" s="26">
        <f>$D29*1</f>
        <v>1</v>
      </c>
      <c r="H29" s="27">
        <f>$D29*2.20459</f>
        <v>2.20459</v>
      </c>
      <c r="I29" s="27">
        <f>$D29*0.001</f>
        <v>0.001</v>
      </c>
      <c r="J29" s="27">
        <f>$D29*0.0011</f>
        <v>0.0011</v>
      </c>
      <c r="K29" s="8"/>
    </row>
    <row r="30" spans="2:11" ht="12.75">
      <c r="B30" s="7"/>
      <c r="C30" s="13" t="s">
        <v>22</v>
      </c>
      <c r="D30" s="14">
        <v>1</v>
      </c>
      <c r="E30" s="17"/>
      <c r="F30" s="27">
        <f>$D30*453.6</f>
        <v>453.6</v>
      </c>
      <c r="G30" s="27">
        <f>$D30*0.4536</f>
        <v>0.4536</v>
      </c>
      <c r="H30" s="26">
        <f>$D30*1</f>
        <v>1</v>
      </c>
      <c r="I30" s="27">
        <f>$D30*0.0004536</f>
        <v>0.0004536</v>
      </c>
      <c r="J30" s="27">
        <f>$D30*0.0005</f>
        <v>0.0005</v>
      </c>
      <c r="K30" s="8"/>
    </row>
    <row r="31" spans="2:11" ht="12.75">
      <c r="B31" s="7"/>
      <c r="C31" s="13" t="s">
        <v>24</v>
      </c>
      <c r="D31" s="14">
        <v>1</v>
      </c>
      <c r="E31" s="17"/>
      <c r="F31" s="27">
        <f>$D31*1000000</f>
        <v>1000000</v>
      </c>
      <c r="G31" s="27">
        <f>$D31*1000</f>
        <v>1000</v>
      </c>
      <c r="H31" s="27">
        <f>$D31*2204.59</f>
        <v>2204.59</v>
      </c>
      <c r="I31" s="26">
        <f>$D31*1</f>
        <v>1</v>
      </c>
      <c r="J31" s="27">
        <f>$D31*1.10229</f>
        <v>1.10229</v>
      </c>
      <c r="K31" s="8"/>
    </row>
    <row r="32" spans="2:11" ht="12.75">
      <c r="B32" s="7"/>
      <c r="C32" s="13" t="s">
        <v>23</v>
      </c>
      <c r="D32" s="14">
        <v>1</v>
      </c>
      <c r="E32" s="17"/>
      <c r="F32" s="27">
        <f>$D32*907200</f>
        <v>907200</v>
      </c>
      <c r="G32" s="27">
        <f>$D32*907.2</f>
        <v>907.2</v>
      </c>
      <c r="H32" s="27">
        <f>$D32*2000</f>
        <v>2000</v>
      </c>
      <c r="I32" s="27">
        <f>$D32*0.9072</f>
        <v>0.9072</v>
      </c>
      <c r="J32" s="26">
        <f>$D32*1</f>
        <v>1</v>
      </c>
      <c r="K32" s="8"/>
    </row>
    <row r="33" spans="2:11" ht="12.75">
      <c r="B33" s="7"/>
      <c r="C33" s="9"/>
      <c r="D33" s="17"/>
      <c r="E33" s="17"/>
      <c r="F33" s="17"/>
      <c r="G33" s="17"/>
      <c r="H33" s="17"/>
      <c r="I33" s="17"/>
      <c r="J33" s="17"/>
      <c r="K33" s="8"/>
    </row>
    <row r="34" spans="2:11" ht="12.75">
      <c r="B34" s="7"/>
      <c r="C34" s="11" t="s">
        <v>11</v>
      </c>
      <c r="D34" s="18"/>
      <c r="E34" s="17"/>
      <c r="F34" s="19" t="s">
        <v>25</v>
      </c>
      <c r="G34" s="19" t="s">
        <v>26</v>
      </c>
      <c r="H34" s="19" t="s">
        <v>27</v>
      </c>
      <c r="I34" s="19" t="s">
        <v>28</v>
      </c>
      <c r="J34" s="19" t="s">
        <v>142</v>
      </c>
      <c r="K34" s="8"/>
    </row>
    <row r="35" spans="2:11" ht="12.75">
      <c r="B35" s="7"/>
      <c r="C35" s="13" t="s">
        <v>25</v>
      </c>
      <c r="D35" s="14">
        <v>1</v>
      </c>
      <c r="E35" s="15"/>
      <c r="F35" s="26">
        <f>$D35*1</f>
        <v>1</v>
      </c>
      <c r="G35" s="27">
        <f>$D35*100000</f>
        <v>100000</v>
      </c>
      <c r="H35" s="27">
        <f>$D35*0.10197</f>
        <v>0.10197</v>
      </c>
      <c r="I35" s="27">
        <f>$D35*0.2248</f>
        <v>0.2248</v>
      </c>
      <c r="J35" s="27"/>
      <c r="K35" s="8"/>
    </row>
    <row r="36" spans="2:11" ht="12.75">
      <c r="B36" s="7"/>
      <c r="C36" s="13" t="s">
        <v>26</v>
      </c>
      <c r="D36" s="14">
        <v>1</v>
      </c>
      <c r="E36" s="15"/>
      <c r="F36" s="27">
        <f>$D36*0.00001</f>
        <v>1E-05</v>
      </c>
      <c r="G36" s="26">
        <f>$D36*1</f>
        <v>1</v>
      </c>
      <c r="H36" s="27">
        <f>$D36/980700</f>
        <v>1.0196798205363517E-06</v>
      </c>
      <c r="I36" s="27">
        <f>$D36/444840</f>
        <v>2.24799928064023E-06</v>
      </c>
      <c r="J36" s="27"/>
      <c r="K36" s="8"/>
    </row>
    <row r="37" spans="2:11" ht="12.75">
      <c r="B37" s="7"/>
      <c r="C37" s="13" t="s">
        <v>27</v>
      </c>
      <c r="D37" s="14">
        <v>1</v>
      </c>
      <c r="E37" s="15"/>
      <c r="F37" s="27">
        <f>$D37*9.807</f>
        <v>9.807</v>
      </c>
      <c r="G37" s="27">
        <f>$D37*980700</f>
        <v>980700</v>
      </c>
      <c r="H37" s="26">
        <f>$D37*1</f>
        <v>1</v>
      </c>
      <c r="I37" s="27">
        <f>$D37/0.4536</f>
        <v>2.204585537918871</v>
      </c>
      <c r="J37" s="27">
        <f>D37/0.031103</f>
        <v>32.151239430280036</v>
      </c>
      <c r="K37" s="8"/>
    </row>
    <row r="38" spans="2:11" ht="12.75">
      <c r="B38" s="7"/>
      <c r="C38" s="13" t="s">
        <v>28</v>
      </c>
      <c r="D38" s="14">
        <v>1</v>
      </c>
      <c r="E38" s="15"/>
      <c r="F38" s="27">
        <f>$D38*4.4484</f>
        <v>4.4484</v>
      </c>
      <c r="G38" s="27">
        <f>$D38*444840</f>
        <v>444840</v>
      </c>
      <c r="H38" s="27">
        <f>$D38*0.4536</f>
        <v>0.4536</v>
      </c>
      <c r="I38" s="26">
        <f>$D38*1</f>
        <v>1</v>
      </c>
      <c r="J38" s="27">
        <f>D38/0.06857</f>
        <v>14.58363715910748</v>
      </c>
      <c r="K38" s="8"/>
    </row>
    <row r="39" spans="2:11" ht="12.75">
      <c r="B39" s="7"/>
      <c r="C39" s="13" t="s">
        <v>142</v>
      </c>
      <c r="D39" s="14">
        <v>1</v>
      </c>
      <c r="E39" s="15"/>
      <c r="F39" s="27"/>
      <c r="G39" s="27"/>
      <c r="H39" s="27">
        <f>0.031103*D39</f>
        <v>0.031103</v>
      </c>
      <c r="I39" s="27">
        <f>D39*0.06857</f>
        <v>0.06857</v>
      </c>
      <c r="J39" s="26">
        <f>D39*1</f>
        <v>1</v>
      </c>
      <c r="K39" s="8"/>
    </row>
    <row r="40" spans="2:11" ht="12.75">
      <c r="B40" s="7"/>
      <c r="C40" s="9"/>
      <c r="D40" s="17"/>
      <c r="E40" s="17"/>
      <c r="F40" s="17"/>
      <c r="G40" s="17"/>
      <c r="H40" s="17"/>
      <c r="I40" s="17"/>
      <c r="J40" s="17"/>
      <c r="K40" s="8"/>
    </row>
    <row r="41" spans="2:11" ht="12.75">
      <c r="B41" s="7"/>
      <c r="C41" s="11" t="s">
        <v>32</v>
      </c>
      <c r="D41" s="18"/>
      <c r="E41" s="17"/>
      <c r="F41" s="19" t="s">
        <v>29</v>
      </c>
      <c r="G41" s="19" t="s">
        <v>30</v>
      </c>
      <c r="H41" s="19" t="s">
        <v>31</v>
      </c>
      <c r="I41" s="19"/>
      <c r="J41" s="19"/>
      <c r="K41" s="8"/>
    </row>
    <row r="42" spans="2:11" ht="12.75">
      <c r="B42" s="7"/>
      <c r="C42" s="13" t="s">
        <v>29</v>
      </c>
      <c r="D42" s="14">
        <v>1</v>
      </c>
      <c r="E42" s="17"/>
      <c r="F42" s="26">
        <f>$D42*1</f>
        <v>1</v>
      </c>
      <c r="G42" s="27">
        <f>$D42*0.03281</f>
        <v>0.03281</v>
      </c>
      <c r="H42" s="27">
        <f>$D42*1.968</f>
        <v>1.968</v>
      </c>
      <c r="I42" s="20"/>
      <c r="J42" s="20"/>
      <c r="K42" s="8"/>
    </row>
    <row r="43" spans="2:11" ht="12.75">
      <c r="B43" s="7"/>
      <c r="C43" s="13" t="s">
        <v>30</v>
      </c>
      <c r="D43" s="14">
        <v>1</v>
      </c>
      <c r="E43" s="17"/>
      <c r="F43" s="27">
        <f>$D43*30.4785</f>
        <v>30.4785</v>
      </c>
      <c r="G43" s="26">
        <f>$D43*1</f>
        <v>1</v>
      </c>
      <c r="H43" s="27">
        <f>$D43*60</f>
        <v>60</v>
      </c>
      <c r="I43" s="20"/>
      <c r="J43" s="20"/>
      <c r="K43" s="8"/>
    </row>
    <row r="44" spans="2:11" ht="12.75">
      <c r="B44" s="7"/>
      <c r="C44" s="13" t="s">
        <v>31</v>
      </c>
      <c r="D44" s="14">
        <v>1</v>
      </c>
      <c r="E44" s="17"/>
      <c r="F44" s="27">
        <f>$D44*0.50813</f>
        <v>0.50813</v>
      </c>
      <c r="G44" s="27">
        <f>$D44*0.01667</f>
        <v>0.01667</v>
      </c>
      <c r="H44" s="26">
        <f>$D44*1</f>
        <v>1</v>
      </c>
      <c r="I44" s="20"/>
      <c r="J44" s="20"/>
      <c r="K44" s="8"/>
    </row>
    <row r="45" spans="2:11" ht="12.75">
      <c r="B45" s="7"/>
      <c r="C45" s="9"/>
      <c r="D45" s="17"/>
      <c r="E45" s="17"/>
      <c r="F45" s="17"/>
      <c r="G45" s="17"/>
      <c r="H45" s="17"/>
      <c r="I45" s="17"/>
      <c r="J45" s="17"/>
      <c r="K45" s="8"/>
    </row>
    <row r="46" spans="2:11" ht="12.75">
      <c r="B46" s="7"/>
      <c r="C46" s="11" t="s">
        <v>33</v>
      </c>
      <c r="D46" s="18"/>
      <c r="E46" s="17"/>
      <c r="F46" s="19" t="s">
        <v>34</v>
      </c>
      <c r="G46" s="19" t="s">
        <v>35</v>
      </c>
      <c r="H46" s="19"/>
      <c r="I46" s="19"/>
      <c r="J46" s="19"/>
      <c r="K46" s="8"/>
    </row>
    <row r="47" spans="2:11" ht="12.75">
      <c r="B47" s="7"/>
      <c r="C47" s="13" t="s">
        <v>34</v>
      </c>
      <c r="D47" s="14">
        <v>1</v>
      </c>
      <c r="E47" s="17"/>
      <c r="F47" s="26">
        <f>$D47*1</f>
        <v>1</v>
      </c>
      <c r="G47" s="27">
        <f>$D47*0.10472</f>
        <v>0.10472</v>
      </c>
      <c r="H47" s="20"/>
      <c r="I47" s="20"/>
      <c r="J47" s="20"/>
      <c r="K47" s="8"/>
    </row>
    <row r="48" spans="2:11" ht="12.75">
      <c r="B48" s="7"/>
      <c r="C48" s="13" t="s">
        <v>35</v>
      </c>
      <c r="D48" s="14">
        <v>1</v>
      </c>
      <c r="E48" s="17"/>
      <c r="F48" s="27">
        <f>$D48*9.5493</f>
        <v>9.5493</v>
      </c>
      <c r="G48" s="26">
        <f>$D48*1</f>
        <v>1</v>
      </c>
      <c r="H48" s="20"/>
      <c r="I48" s="20"/>
      <c r="J48" s="20"/>
      <c r="K48" s="8"/>
    </row>
    <row r="49" spans="2:11" ht="12.75">
      <c r="B49" s="7"/>
      <c r="C49" s="9"/>
      <c r="D49" s="17"/>
      <c r="E49" s="17"/>
      <c r="F49" s="17"/>
      <c r="G49" s="17"/>
      <c r="H49" s="17"/>
      <c r="I49" s="17"/>
      <c r="J49" s="17"/>
      <c r="K49" s="8"/>
    </row>
    <row r="50" spans="2:11" ht="14.25">
      <c r="B50" s="7"/>
      <c r="C50" s="11" t="s">
        <v>12</v>
      </c>
      <c r="D50" s="18"/>
      <c r="E50" s="17"/>
      <c r="F50" s="19" t="s">
        <v>36</v>
      </c>
      <c r="G50" s="19" t="s">
        <v>61</v>
      </c>
      <c r="H50" s="19" t="s">
        <v>37</v>
      </c>
      <c r="I50" s="19" t="s">
        <v>62</v>
      </c>
      <c r="J50" s="19" t="s">
        <v>63</v>
      </c>
      <c r="K50" s="8"/>
    </row>
    <row r="51" spans="2:11" ht="12.75">
      <c r="B51" s="7"/>
      <c r="C51" s="13" t="s">
        <v>36</v>
      </c>
      <c r="D51" s="14">
        <v>1</v>
      </c>
      <c r="E51" s="17"/>
      <c r="F51" s="26">
        <f>$D51*1</f>
        <v>1</v>
      </c>
      <c r="G51" s="27">
        <f>$D51*3.6</f>
        <v>3.6</v>
      </c>
      <c r="H51" s="27">
        <f>$D51*15.85</f>
        <v>15.85</v>
      </c>
      <c r="I51" s="27">
        <f>$D51*0.03532</f>
        <v>0.03532</v>
      </c>
      <c r="J51" s="27">
        <f>$D51*2.1192</f>
        <v>2.1192</v>
      </c>
      <c r="K51" s="8"/>
    </row>
    <row r="52" spans="2:11" ht="14.25">
      <c r="B52" s="7"/>
      <c r="C52" s="13" t="s">
        <v>61</v>
      </c>
      <c r="D52" s="14">
        <v>1</v>
      </c>
      <c r="E52" s="17"/>
      <c r="F52" s="27">
        <f>$D52/3.6</f>
        <v>0.2777777777777778</v>
      </c>
      <c r="G52" s="26">
        <f>$D52*1</f>
        <v>1</v>
      </c>
      <c r="H52" s="27">
        <f>$D52*4.403</f>
        <v>4.403</v>
      </c>
      <c r="I52" s="27">
        <f>$D52*0.009812</f>
        <v>0.009812</v>
      </c>
      <c r="J52" s="27">
        <f>$D52*0.58864</f>
        <v>0.58864</v>
      </c>
      <c r="K52" s="8"/>
    </row>
    <row r="53" spans="2:11" ht="12.75">
      <c r="B53" s="7"/>
      <c r="C53" s="13" t="s">
        <v>37</v>
      </c>
      <c r="D53" s="14">
        <v>1</v>
      </c>
      <c r="E53" s="17"/>
      <c r="F53" s="27">
        <f>$D53*0.06309</f>
        <v>0.06309</v>
      </c>
      <c r="G53" s="27">
        <f>$D53*0.2271</f>
        <v>0.2271</v>
      </c>
      <c r="H53" s="26">
        <f>$D53*1</f>
        <v>1</v>
      </c>
      <c r="I53" s="27">
        <f>$D53*0.0022282</f>
        <v>0.0022282</v>
      </c>
      <c r="J53" s="27">
        <f>$D53*0.133672</f>
        <v>0.133672</v>
      </c>
      <c r="K53" s="8"/>
    </row>
    <row r="54" spans="2:11" ht="14.25">
      <c r="B54" s="7"/>
      <c r="C54" s="13" t="s">
        <v>62</v>
      </c>
      <c r="D54" s="14">
        <v>1</v>
      </c>
      <c r="E54" s="17"/>
      <c r="F54" s="27">
        <f>$D54*28.31</f>
        <v>28.31</v>
      </c>
      <c r="G54" s="27">
        <f>$D54*101.916</f>
        <v>101.916</v>
      </c>
      <c r="H54" s="27">
        <f>$D54*448.8</f>
        <v>448.8</v>
      </c>
      <c r="I54" s="26">
        <f>$D54*1</f>
        <v>1</v>
      </c>
      <c r="J54" s="27">
        <f>$D54*60</f>
        <v>60</v>
      </c>
      <c r="K54" s="8"/>
    </row>
    <row r="55" spans="2:11" ht="14.25">
      <c r="B55" s="7"/>
      <c r="C55" s="13" t="s">
        <v>63</v>
      </c>
      <c r="D55" s="14">
        <v>1</v>
      </c>
      <c r="E55" s="17"/>
      <c r="F55" s="27">
        <f>$D55*0.4719</f>
        <v>0.4719</v>
      </c>
      <c r="G55" s="27">
        <f>$D55*1.69884</f>
        <v>1.69884</v>
      </c>
      <c r="H55" s="27">
        <f>$D55*7.481</f>
        <v>7.481</v>
      </c>
      <c r="I55" s="27">
        <f>$D55/60</f>
        <v>0.016666666666666666</v>
      </c>
      <c r="J55" s="26">
        <f>$D55*1</f>
        <v>1</v>
      </c>
      <c r="K55" s="8"/>
    </row>
    <row r="56" spans="2:11" ht="12.75">
      <c r="B56" s="7"/>
      <c r="C56" s="9"/>
      <c r="D56" s="17"/>
      <c r="E56" s="17"/>
      <c r="F56" s="17"/>
      <c r="G56" s="17"/>
      <c r="H56" s="17"/>
      <c r="I56" s="17"/>
      <c r="J56" s="17"/>
      <c r="K56" s="8"/>
    </row>
    <row r="57" spans="2:11" ht="12.75">
      <c r="B57" s="7"/>
      <c r="C57" s="11" t="s">
        <v>13</v>
      </c>
      <c r="D57" s="18"/>
      <c r="E57" s="17"/>
      <c r="F57" s="19" t="s">
        <v>41</v>
      </c>
      <c r="G57" s="19" t="s">
        <v>38</v>
      </c>
      <c r="H57" s="19" t="s">
        <v>40</v>
      </c>
      <c r="I57" s="19" t="s">
        <v>39</v>
      </c>
      <c r="J57" s="19"/>
      <c r="K57" s="8"/>
    </row>
    <row r="58" spans="2:11" ht="12.75">
      <c r="B58" s="7"/>
      <c r="C58" s="13" t="s">
        <v>41</v>
      </c>
      <c r="D58" s="14">
        <v>1</v>
      </c>
      <c r="E58" s="17"/>
      <c r="F58" s="26">
        <f>$D58*1</f>
        <v>1</v>
      </c>
      <c r="G58" s="27">
        <f>$D58*0.06</f>
        <v>0.06</v>
      </c>
      <c r="H58" s="27">
        <f>$D58/0.4536</f>
        <v>2.204585537918871</v>
      </c>
      <c r="I58" s="27">
        <f>$D58/15.12</f>
        <v>0.06613756613756615</v>
      </c>
      <c r="J58" s="20"/>
      <c r="K58" s="8"/>
    </row>
    <row r="59" spans="2:11" ht="12.75">
      <c r="B59" s="7"/>
      <c r="C59" s="13" t="s">
        <v>38</v>
      </c>
      <c r="D59" s="14">
        <v>1</v>
      </c>
      <c r="E59" s="17"/>
      <c r="F59" s="27">
        <f>$D59/0.06</f>
        <v>16.666666666666668</v>
      </c>
      <c r="G59" s="26">
        <f>$D59*1</f>
        <v>1</v>
      </c>
      <c r="H59" s="27">
        <f>$D59/0.027216</f>
        <v>36.74309229864785</v>
      </c>
      <c r="I59" s="27">
        <f>$D59/0.9072</f>
        <v>1.1022927689594355</v>
      </c>
      <c r="J59" s="20"/>
      <c r="K59" s="8"/>
    </row>
    <row r="60" spans="2:11" ht="12.75">
      <c r="B60" s="7"/>
      <c r="C60" s="13" t="s">
        <v>40</v>
      </c>
      <c r="D60" s="14">
        <v>1</v>
      </c>
      <c r="E60" s="17"/>
      <c r="F60" s="27">
        <f>$D60*0.4536</f>
        <v>0.4536</v>
      </c>
      <c r="G60" s="27">
        <f>$D60*0.027216</f>
        <v>0.027216</v>
      </c>
      <c r="H60" s="26">
        <f>$D60*1</f>
        <v>1</v>
      </c>
      <c r="I60" s="27">
        <f>$D60*0.03</f>
        <v>0.03</v>
      </c>
      <c r="J60" s="20"/>
      <c r="K60" s="8"/>
    </row>
    <row r="61" spans="2:11" ht="12.75">
      <c r="B61" s="7"/>
      <c r="C61" s="13" t="s">
        <v>39</v>
      </c>
      <c r="D61" s="14">
        <v>1</v>
      </c>
      <c r="E61" s="17"/>
      <c r="F61" s="27">
        <f>$D61*15.12</f>
        <v>15.12</v>
      </c>
      <c r="G61" s="27">
        <f>$D61*0.9072</f>
        <v>0.9072</v>
      </c>
      <c r="H61" s="27">
        <f>$D61/0.03</f>
        <v>33.333333333333336</v>
      </c>
      <c r="I61" s="26">
        <f>$D61*1</f>
        <v>1</v>
      </c>
      <c r="J61" s="20"/>
      <c r="K61" s="8"/>
    </row>
    <row r="62" spans="2:11" ht="12.75">
      <c r="B62" s="7"/>
      <c r="C62" s="9"/>
      <c r="D62" s="17"/>
      <c r="E62" s="17"/>
      <c r="F62" s="17"/>
      <c r="G62" s="17"/>
      <c r="H62" s="17"/>
      <c r="I62" s="17"/>
      <c r="J62" s="17"/>
      <c r="K62" s="8"/>
    </row>
    <row r="63" spans="2:11" ht="14.25">
      <c r="B63" s="7"/>
      <c r="C63" s="11" t="s">
        <v>14</v>
      </c>
      <c r="D63" s="18"/>
      <c r="E63" s="17"/>
      <c r="F63" s="19" t="s">
        <v>64</v>
      </c>
      <c r="G63" s="19" t="s">
        <v>65</v>
      </c>
      <c r="H63" s="19" t="s">
        <v>66</v>
      </c>
      <c r="I63" s="19"/>
      <c r="J63" s="19"/>
      <c r="K63" s="8"/>
    </row>
    <row r="64" spans="2:11" ht="14.25">
      <c r="B64" s="7"/>
      <c r="C64" s="13" t="s">
        <v>64</v>
      </c>
      <c r="D64" s="14">
        <v>1</v>
      </c>
      <c r="E64" s="17"/>
      <c r="F64" s="26">
        <f>$D64*1</f>
        <v>1</v>
      </c>
      <c r="G64" s="27">
        <f>$D64*1</f>
        <v>1</v>
      </c>
      <c r="H64" s="27">
        <f>$D64*62.4</f>
        <v>62.4</v>
      </c>
      <c r="I64" s="20"/>
      <c r="J64" s="20"/>
      <c r="K64" s="8"/>
    </row>
    <row r="65" spans="2:11" ht="14.25">
      <c r="B65" s="7"/>
      <c r="C65" s="13" t="s">
        <v>65</v>
      </c>
      <c r="D65" s="14">
        <v>1</v>
      </c>
      <c r="E65" s="17"/>
      <c r="F65" s="27">
        <f>$D65/1</f>
        <v>1</v>
      </c>
      <c r="G65" s="26">
        <f>$D65*1</f>
        <v>1</v>
      </c>
      <c r="H65" s="27">
        <f>$D65*62.4</f>
        <v>62.4</v>
      </c>
      <c r="I65" s="20"/>
      <c r="J65" s="20"/>
      <c r="K65" s="8"/>
    </row>
    <row r="66" spans="2:11" ht="14.25">
      <c r="B66" s="7"/>
      <c r="C66" s="13" t="s">
        <v>66</v>
      </c>
      <c r="D66" s="14">
        <v>1</v>
      </c>
      <c r="E66" s="17"/>
      <c r="F66" s="27">
        <f>$D66/62.4</f>
        <v>0.016025641025641028</v>
      </c>
      <c r="G66" s="27">
        <f>$D66/62.4</f>
        <v>0.016025641025641028</v>
      </c>
      <c r="H66" s="26">
        <f>$D66*1</f>
        <v>1</v>
      </c>
      <c r="I66" s="20"/>
      <c r="J66" s="20"/>
      <c r="K66" s="8"/>
    </row>
    <row r="67" spans="2:11" ht="12.75">
      <c r="B67" s="7"/>
      <c r="C67" s="9"/>
      <c r="D67" s="17"/>
      <c r="E67" s="17"/>
      <c r="F67" s="17"/>
      <c r="G67" s="17"/>
      <c r="H67" s="17"/>
      <c r="I67" s="17"/>
      <c r="J67" s="17"/>
      <c r="K67" s="8"/>
    </row>
    <row r="68" spans="2:11" ht="14.25">
      <c r="B68" s="7"/>
      <c r="C68" s="11" t="s">
        <v>143</v>
      </c>
      <c r="D68" s="18"/>
      <c r="E68" s="17"/>
      <c r="F68" s="13" t="s">
        <v>144</v>
      </c>
      <c r="G68" s="13" t="s">
        <v>145</v>
      </c>
      <c r="H68" s="13" t="s">
        <v>146</v>
      </c>
      <c r="I68" s="19"/>
      <c r="J68" s="19"/>
      <c r="K68" s="8"/>
    </row>
    <row r="69" spans="2:11" ht="12.75">
      <c r="B69" s="7"/>
      <c r="C69" s="13" t="s">
        <v>144</v>
      </c>
      <c r="D69" s="14">
        <v>1</v>
      </c>
      <c r="E69" s="17"/>
      <c r="F69" s="26">
        <f>$D69*1</f>
        <v>1</v>
      </c>
      <c r="G69" s="27">
        <f>D69/10</f>
        <v>0.1</v>
      </c>
      <c r="H69" s="27">
        <f>0.0020886</f>
        <v>0.0020886</v>
      </c>
      <c r="I69" s="20"/>
      <c r="J69" s="20"/>
      <c r="K69" s="8"/>
    </row>
    <row r="70" spans="2:11" ht="14.25">
      <c r="B70" s="7"/>
      <c r="C70" s="13" t="s">
        <v>145</v>
      </c>
      <c r="D70" s="14">
        <v>1</v>
      </c>
      <c r="E70" s="17"/>
      <c r="F70" s="27">
        <f>D70*10</f>
        <v>10</v>
      </c>
      <c r="G70" s="26">
        <f>$D70*1</f>
        <v>1</v>
      </c>
      <c r="H70" s="27"/>
      <c r="I70" s="20"/>
      <c r="J70" s="20"/>
      <c r="K70" s="8"/>
    </row>
    <row r="71" spans="2:11" ht="14.25">
      <c r="B71" s="7"/>
      <c r="C71" s="13" t="s">
        <v>146</v>
      </c>
      <c r="D71" s="14">
        <v>1</v>
      </c>
      <c r="E71" s="17"/>
      <c r="F71" s="27">
        <f>D71/0.0020886</f>
        <v>478.7896198410419</v>
      </c>
      <c r="G71" s="27"/>
      <c r="H71" s="26">
        <f>$D71*1</f>
        <v>1</v>
      </c>
      <c r="I71" s="20"/>
      <c r="J71" s="20"/>
      <c r="K71" s="8"/>
    </row>
    <row r="72" spans="2:11" ht="12.75">
      <c r="B72" s="7"/>
      <c r="C72" s="9"/>
      <c r="D72" s="17"/>
      <c r="E72" s="17"/>
      <c r="F72" s="17"/>
      <c r="G72" s="17"/>
      <c r="H72" s="17"/>
      <c r="I72" s="17"/>
      <c r="J72" s="17"/>
      <c r="K72" s="8"/>
    </row>
    <row r="73" spans="2:11" ht="12.75">
      <c r="B73" s="7"/>
      <c r="C73" s="11" t="s">
        <v>15</v>
      </c>
      <c r="D73" s="18"/>
      <c r="E73" s="17"/>
      <c r="F73" s="19" t="s">
        <v>42</v>
      </c>
      <c r="G73" s="19" t="s">
        <v>111</v>
      </c>
      <c r="H73" s="19" t="s">
        <v>43</v>
      </c>
      <c r="I73" s="19" t="s">
        <v>44</v>
      </c>
      <c r="J73" s="19" t="s">
        <v>45</v>
      </c>
      <c r="K73" s="8"/>
    </row>
    <row r="74" spans="2:11" ht="12.75">
      <c r="B74" s="7"/>
      <c r="C74" s="13" t="s">
        <v>42</v>
      </c>
      <c r="D74" s="14">
        <v>1</v>
      </c>
      <c r="E74" s="17"/>
      <c r="F74" s="26">
        <f>$D74*1</f>
        <v>1</v>
      </c>
      <c r="G74" s="27">
        <f>$D74/0.000293</f>
        <v>3412.9692832764504</v>
      </c>
      <c r="H74" s="27">
        <f>$D74*3600000</f>
        <v>3600000</v>
      </c>
      <c r="I74" s="27">
        <f>$D74*367000</f>
        <v>367000</v>
      </c>
      <c r="J74" s="27">
        <f>$D74*2660000</f>
        <v>2660000</v>
      </c>
      <c r="K74" s="8"/>
    </row>
    <row r="75" spans="2:11" ht="12.75">
      <c r="B75" s="7"/>
      <c r="C75" s="13" t="s">
        <v>111</v>
      </c>
      <c r="D75" s="14">
        <v>1</v>
      </c>
      <c r="E75" s="17"/>
      <c r="F75" s="27">
        <f>$D75*0.000293</f>
        <v>0.000293</v>
      </c>
      <c r="G75" s="26">
        <f>$D75*1</f>
        <v>1</v>
      </c>
      <c r="H75" s="27">
        <f>$D75*1055</f>
        <v>1055</v>
      </c>
      <c r="I75" s="27">
        <f>$D75*107.6</f>
        <v>107.6</v>
      </c>
      <c r="J75" s="27">
        <f>$D75*778</f>
        <v>778</v>
      </c>
      <c r="K75" s="8"/>
    </row>
    <row r="76" spans="2:11" ht="12.75">
      <c r="B76" s="7"/>
      <c r="C76" s="13" t="s">
        <v>43</v>
      </c>
      <c r="D76" s="14">
        <v>1</v>
      </c>
      <c r="E76" s="17"/>
      <c r="F76" s="27">
        <f>$D76/3600000</f>
        <v>2.7777777777777776E-07</v>
      </c>
      <c r="G76" s="27">
        <f>$D76/1055</f>
        <v>0.0009478672985781991</v>
      </c>
      <c r="H76" s="26">
        <f>$D76*1</f>
        <v>1</v>
      </c>
      <c r="I76" s="27">
        <f>$D76/9.807</f>
        <v>0.10196798205363515</v>
      </c>
      <c r="J76" s="27">
        <f>$D76/1.356</f>
        <v>0.7374631268436578</v>
      </c>
      <c r="K76" s="8"/>
    </row>
    <row r="77" spans="2:11" ht="12.75">
      <c r="B77" s="7"/>
      <c r="C77" s="13" t="s">
        <v>44</v>
      </c>
      <c r="D77" s="14">
        <v>1</v>
      </c>
      <c r="E77" s="17"/>
      <c r="F77" s="27">
        <f>$D77/367000</f>
        <v>2.7247956403269755E-06</v>
      </c>
      <c r="G77" s="27">
        <f>$D77/107.6</f>
        <v>0.00929368029739777</v>
      </c>
      <c r="H77" s="27">
        <f>$D77*9.807</f>
        <v>9.807</v>
      </c>
      <c r="I77" s="26">
        <f>$D77*1</f>
        <v>1</v>
      </c>
      <c r="J77" s="27">
        <f>$D77/0.1383</f>
        <v>7.230657989877079</v>
      </c>
      <c r="K77" s="8"/>
    </row>
    <row r="78" spans="2:11" ht="12.75">
      <c r="B78" s="7"/>
      <c r="C78" s="13" t="s">
        <v>45</v>
      </c>
      <c r="D78" s="14">
        <v>1</v>
      </c>
      <c r="E78" s="17"/>
      <c r="F78" s="27">
        <f>$D78/2660000</f>
        <v>3.7593984962406015E-07</v>
      </c>
      <c r="G78" s="27">
        <f>$D78/778</f>
        <v>0.0012853470437017994</v>
      </c>
      <c r="H78" s="27">
        <f>$D78*1.356</f>
        <v>1.356</v>
      </c>
      <c r="I78" s="27">
        <f>$D78*0.1383</f>
        <v>0.1383</v>
      </c>
      <c r="J78" s="26">
        <f>$D78*1</f>
        <v>1</v>
      </c>
      <c r="K78" s="8"/>
    </row>
    <row r="79" spans="2:11" ht="12.75">
      <c r="B79" s="7"/>
      <c r="C79" s="9"/>
      <c r="D79" s="17"/>
      <c r="E79" s="17"/>
      <c r="F79" s="17"/>
      <c r="G79" s="17"/>
      <c r="H79" s="17"/>
      <c r="I79" s="17"/>
      <c r="J79" s="17"/>
      <c r="K79" s="8"/>
    </row>
    <row r="80" spans="2:11" ht="12.75">
      <c r="B80" s="7"/>
      <c r="C80" s="11" t="s">
        <v>48</v>
      </c>
      <c r="D80" s="18"/>
      <c r="E80" s="17"/>
      <c r="F80" s="19" t="s">
        <v>49</v>
      </c>
      <c r="G80" s="19" t="s">
        <v>50</v>
      </c>
      <c r="H80" s="19" t="s">
        <v>70</v>
      </c>
      <c r="I80" s="19" t="s">
        <v>51</v>
      </c>
      <c r="J80" s="19"/>
      <c r="K80" s="8"/>
    </row>
    <row r="81" spans="2:11" ht="12.75">
      <c r="B81" s="7"/>
      <c r="C81" s="13" t="s">
        <v>49</v>
      </c>
      <c r="D81" s="14">
        <v>1</v>
      </c>
      <c r="E81" s="17"/>
      <c r="F81" s="26">
        <f>$D81*1</f>
        <v>1</v>
      </c>
      <c r="G81" s="27">
        <f>$D81*0.9072</f>
        <v>0.9072</v>
      </c>
      <c r="H81" s="27">
        <f>$D81/0.74571</f>
        <v>1.3410038755012001</v>
      </c>
      <c r="I81" s="27">
        <f>$D81/0.822</f>
        <v>1.2165450121654502</v>
      </c>
      <c r="J81" s="20"/>
      <c r="K81" s="8"/>
    </row>
    <row r="82" spans="2:11" ht="12.75">
      <c r="B82" s="7"/>
      <c r="C82" s="13" t="s">
        <v>50</v>
      </c>
      <c r="D82" s="14">
        <v>1</v>
      </c>
      <c r="E82" s="17"/>
      <c r="F82" s="27">
        <f>$D82/0.9072</f>
        <v>1.1022927689594355</v>
      </c>
      <c r="G82" s="26">
        <f>$D82*1</f>
        <v>1</v>
      </c>
      <c r="H82" s="27">
        <f>$D82/0.6765</f>
        <v>1.4781966001478197</v>
      </c>
      <c r="I82" s="27">
        <f>$D82/0.74571</f>
        <v>1.3410038755012001</v>
      </c>
      <c r="J82" s="20"/>
      <c r="K82" s="8"/>
    </row>
    <row r="83" spans="2:11" ht="12.75">
      <c r="B83" s="7"/>
      <c r="C83" s="13" t="s">
        <v>70</v>
      </c>
      <c r="D83" s="14">
        <v>1</v>
      </c>
      <c r="E83" s="17"/>
      <c r="F83" s="27">
        <f>$D83*0.74571</f>
        <v>0.74571</v>
      </c>
      <c r="G83" s="27">
        <f>$D83*0.6765</f>
        <v>0.6765</v>
      </c>
      <c r="H83" s="26">
        <f>$D83*1</f>
        <v>1</v>
      </c>
      <c r="I83" s="27">
        <f>$D83*0.9072</f>
        <v>0.9072</v>
      </c>
      <c r="J83" s="20"/>
      <c r="K83" s="8"/>
    </row>
    <row r="84" spans="2:11" ht="12.75">
      <c r="B84" s="7"/>
      <c r="C84" s="13" t="s">
        <v>51</v>
      </c>
      <c r="D84" s="14">
        <v>1</v>
      </c>
      <c r="E84" s="17"/>
      <c r="F84" s="27">
        <f>$D84*0.822</f>
        <v>0.822</v>
      </c>
      <c r="G84" s="27">
        <f>$D84*0.74571</f>
        <v>0.74571</v>
      </c>
      <c r="H84" s="27">
        <f>$D84/0.9072</f>
        <v>1.1022927689594355</v>
      </c>
      <c r="I84" s="26">
        <f>$D84*1</f>
        <v>1</v>
      </c>
      <c r="J84" s="20"/>
      <c r="K84" s="8"/>
    </row>
    <row r="85" spans="2:11" ht="12.75">
      <c r="B85" s="7"/>
      <c r="C85" s="9"/>
      <c r="D85" s="17"/>
      <c r="E85" s="17"/>
      <c r="F85" s="17"/>
      <c r="G85" s="17"/>
      <c r="H85" s="17"/>
      <c r="I85" s="17"/>
      <c r="J85" s="17"/>
      <c r="K85" s="8"/>
    </row>
    <row r="86" spans="2:11" ht="12.75">
      <c r="B86" s="7"/>
      <c r="C86" s="11" t="s">
        <v>16</v>
      </c>
      <c r="D86" s="18"/>
      <c r="E86" s="17"/>
      <c r="F86" s="19" t="s">
        <v>46</v>
      </c>
      <c r="G86" s="19" t="s">
        <v>47</v>
      </c>
      <c r="H86" s="19"/>
      <c r="I86" s="19"/>
      <c r="J86" s="19"/>
      <c r="K86" s="8"/>
    </row>
    <row r="87" spans="2:11" ht="12.75">
      <c r="B87" s="7"/>
      <c r="C87" s="13" t="s">
        <v>46</v>
      </c>
      <c r="D87" s="14">
        <v>1</v>
      </c>
      <c r="E87" s="17"/>
      <c r="F87" s="26">
        <f>$D87*1</f>
        <v>1</v>
      </c>
      <c r="G87" s="27">
        <f>$D87*1.341</f>
        <v>1.341</v>
      </c>
      <c r="H87" s="20"/>
      <c r="I87" s="20"/>
      <c r="J87" s="20"/>
      <c r="K87" s="8"/>
    </row>
    <row r="88" spans="2:11" ht="12.75">
      <c r="B88" s="7"/>
      <c r="C88" s="13" t="s">
        <v>47</v>
      </c>
      <c r="D88" s="14">
        <v>1</v>
      </c>
      <c r="E88" s="17"/>
      <c r="F88" s="27">
        <f>$D88/1.341</f>
        <v>0.7457121551081283</v>
      </c>
      <c r="G88" s="26">
        <f>$D88*1</f>
        <v>1</v>
      </c>
      <c r="H88" s="20"/>
      <c r="I88" s="20"/>
      <c r="J88" s="20"/>
      <c r="K88" s="8"/>
    </row>
    <row r="89" spans="2:11" ht="12.75">
      <c r="B89" s="7"/>
      <c r="C89" s="9"/>
      <c r="D89" s="17"/>
      <c r="E89" s="17"/>
      <c r="F89" s="17"/>
      <c r="G89" s="17"/>
      <c r="H89" s="17"/>
      <c r="I89" s="17"/>
      <c r="J89" s="17"/>
      <c r="K89" s="8"/>
    </row>
    <row r="90" spans="2:11" ht="14.25">
      <c r="B90" s="7"/>
      <c r="C90" s="11" t="s">
        <v>17</v>
      </c>
      <c r="D90" s="18"/>
      <c r="E90" s="17"/>
      <c r="F90" s="19" t="s">
        <v>141</v>
      </c>
      <c r="G90" s="19" t="s">
        <v>52</v>
      </c>
      <c r="H90" s="19" t="s">
        <v>53</v>
      </c>
      <c r="I90" s="13" t="s">
        <v>71</v>
      </c>
      <c r="J90" s="13" t="s">
        <v>72</v>
      </c>
      <c r="K90" s="8"/>
    </row>
    <row r="91" spans="2:11" ht="14.25">
      <c r="B91" s="7"/>
      <c r="C91" s="13" t="s">
        <v>141</v>
      </c>
      <c r="D91" s="21">
        <v>1</v>
      </c>
      <c r="E91" s="17"/>
      <c r="F91" s="26">
        <f>$D91*1</f>
        <v>1</v>
      </c>
      <c r="G91" s="27">
        <f>$D91*14.22</f>
        <v>14.22</v>
      </c>
      <c r="H91" s="27">
        <f>$D91/0.1</f>
        <v>10</v>
      </c>
      <c r="I91" s="27">
        <f>$D91*735.5592</f>
        <v>735.5592</v>
      </c>
      <c r="J91" s="27">
        <f>$D91/0.01019716</f>
        <v>98.06652048217346</v>
      </c>
      <c r="K91" s="8"/>
    </row>
    <row r="92" spans="2:11" ht="12.75">
      <c r="B92" s="7"/>
      <c r="C92" s="13" t="s">
        <v>52</v>
      </c>
      <c r="D92" s="21">
        <v>1</v>
      </c>
      <c r="E92" s="17"/>
      <c r="F92" s="27">
        <f>$D92/14.22</f>
        <v>0.07032348804500703</v>
      </c>
      <c r="G92" s="26">
        <f>$D92*1</f>
        <v>1</v>
      </c>
      <c r="H92" s="27">
        <f>$D92/1.422</f>
        <v>0.7032348804500703</v>
      </c>
      <c r="I92" s="27">
        <f>$D92*51.71493</f>
        <v>51.71493</v>
      </c>
      <c r="J92" s="27">
        <f>$D92/0.1450377</f>
        <v>6.89475908677537</v>
      </c>
      <c r="K92" s="8"/>
    </row>
    <row r="93" spans="2:11" ht="12.75">
      <c r="B93" s="7"/>
      <c r="C93" s="13" t="s">
        <v>53</v>
      </c>
      <c r="D93" s="21">
        <v>1</v>
      </c>
      <c r="E93" s="17"/>
      <c r="F93" s="27">
        <f>$D93*0.1</f>
        <v>0.1</v>
      </c>
      <c r="G93" s="27">
        <f>$D93*1.422</f>
        <v>1.422</v>
      </c>
      <c r="H93" s="26">
        <f>$D93*1</f>
        <v>1</v>
      </c>
      <c r="I93" s="27">
        <f>$D93*73.53863</f>
        <v>73.53863</v>
      </c>
      <c r="J93" s="27">
        <f>$D93/0.102</f>
        <v>9.803921568627452</v>
      </c>
      <c r="K93" s="8"/>
    </row>
    <row r="94" spans="2:11" ht="12.75">
      <c r="B94" s="7"/>
      <c r="C94" s="13" t="s">
        <v>71</v>
      </c>
      <c r="D94" s="21">
        <v>1</v>
      </c>
      <c r="E94" s="17"/>
      <c r="F94" s="27">
        <f>$D94/735.5592</f>
        <v>0.0013595098803740066</v>
      </c>
      <c r="G94" s="27">
        <f>$D94/51.71493</f>
        <v>0.019336775666137417</v>
      </c>
      <c r="H94" s="27">
        <f>$D94/73.53863</f>
        <v>0.013598295208926248</v>
      </c>
      <c r="I94" s="26">
        <f>$D94*1</f>
        <v>1</v>
      </c>
      <c r="J94" s="27">
        <f>$D94/7.5</f>
        <v>0.13333333333333333</v>
      </c>
      <c r="K94" s="8"/>
    </row>
    <row r="95" spans="2:11" ht="12.75">
      <c r="B95" s="7"/>
      <c r="C95" s="13" t="s">
        <v>72</v>
      </c>
      <c r="D95" s="21">
        <v>126</v>
      </c>
      <c r="E95" s="17"/>
      <c r="F95" s="27">
        <f>$D95*0.01019716</f>
        <v>1.28484216</v>
      </c>
      <c r="G95" s="27">
        <f>$D95*0.1450377</f>
        <v>18.2747502</v>
      </c>
      <c r="H95" s="27">
        <f>$D95*0.102</f>
        <v>12.851999999999999</v>
      </c>
      <c r="I95" s="27">
        <f>$D95*7.5</f>
        <v>945</v>
      </c>
      <c r="J95" s="26">
        <f>$D95*1</f>
        <v>126</v>
      </c>
      <c r="K95" s="8"/>
    </row>
    <row r="96" spans="2:11" ht="12.75">
      <c r="B96" s="7"/>
      <c r="C96" s="9"/>
      <c r="D96" s="17"/>
      <c r="E96" s="17"/>
      <c r="F96" s="17"/>
      <c r="G96" s="17"/>
      <c r="H96" s="17"/>
      <c r="I96" s="17"/>
      <c r="J96" s="17"/>
      <c r="K96" s="8"/>
    </row>
    <row r="97" spans="2:11" ht="12.75">
      <c r="B97" s="7"/>
      <c r="C97" s="11" t="s">
        <v>67</v>
      </c>
      <c r="D97" s="18"/>
      <c r="E97" s="17"/>
      <c r="F97" s="19" t="s">
        <v>68</v>
      </c>
      <c r="G97" s="19" t="s">
        <v>69</v>
      </c>
      <c r="H97" s="13" t="s">
        <v>91</v>
      </c>
      <c r="I97" s="19"/>
      <c r="J97" s="19"/>
      <c r="K97" s="8"/>
    </row>
    <row r="98" spans="2:11" ht="12.75">
      <c r="B98" s="7"/>
      <c r="C98" s="13" t="s">
        <v>68</v>
      </c>
      <c r="D98" s="22">
        <v>20</v>
      </c>
      <c r="E98" s="17"/>
      <c r="F98" s="28">
        <f>$D98*1</f>
        <v>20</v>
      </c>
      <c r="G98" s="29">
        <f>$D98*(9/5)+32</f>
        <v>68</v>
      </c>
      <c r="H98" s="29">
        <f>D98+273.15</f>
        <v>293.15</v>
      </c>
      <c r="I98" s="20"/>
      <c r="J98" s="20"/>
      <c r="K98" s="8"/>
    </row>
    <row r="99" spans="2:11" ht="12.75">
      <c r="B99" s="7"/>
      <c r="C99" s="13" t="s">
        <v>69</v>
      </c>
      <c r="D99" s="22">
        <v>68</v>
      </c>
      <c r="E99" s="17"/>
      <c r="F99" s="29">
        <f>($D99-32)*(5/9)</f>
        <v>20</v>
      </c>
      <c r="G99" s="28">
        <f>$D99*1</f>
        <v>68</v>
      </c>
      <c r="H99" s="29">
        <f>($D99-32)*(5/9)+273.15</f>
        <v>293.15</v>
      </c>
      <c r="I99" s="20"/>
      <c r="J99" s="20"/>
      <c r="K99" s="8"/>
    </row>
    <row r="100" spans="2:11" ht="12.75">
      <c r="B100" s="7"/>
      <c r="C100" s="13" t="s">
        <v>91</v>
      </c>
      <c r="D100" s="22">
        <v>293.15</v>
      </c>
      <c r="E100" s="17"/>
      <c r="F100" s="29">
        <f>D100-273.15</f>
        <v>20</v>
      </c>
      <c r="G100" s="29">
        <f>($D100-273.15)*(9/5)+32</f>
        <v>68</v>
      </c>
      <c r="H100" s="28">
        <f>D100</f>
        <v>293.15</v>
      </c>
      <c r="I100" s="20"/>
      <c r="J100" s="20"/>
      <c r="K100" s="8"/>
    </row>
    <row r="101" spans="2:11" ht="13.5" thickBot="1">
      <c r="B101" s="23"/>
      <c r="C101" s="24"/>
      <c r="D101" s="24"/>
      <c r="E101" s="24"/>
      <c r="F101" s="24"/>
      <c r="G101" s="24"/>
      <c r="H101" s="24"/>
      <c r="I101" s="24"/>
      <c r="J101" s="24"/>
      <c r="K101" s="25"/>
    </row>
    <row r="102" ht="13.5" thickTop="1"/>
  </sheetData>
  <sheetProtection password="CD50" sheet="1" objects="1" scenarios="1" insertColumns="0" insertRows="0"/>
  <mergeCells count="1">
    <mergeCell ref="C3:J3"/>
  </mergeCells>
  <printOptions horizontalCentered="1"/>
  <pageMargins left="0.25" right="0.25" top="1" bottom="1.5" header="0" footer="0.5"/>
  <pageSetup horizontalDpi="300" verticalDpi="300" orientation="portrait" scale="80" r:id="rId2"/>
  <headerFooter alignWithMargins="0">
    <oddFooter>&amp;L&amp;"Arial,Bold"&amp;8Moly-Cop Tools&amp;"Arial,Regular" / &amp;F&amp;R&amp;8&amp;D   /   &amp;T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0"/>
  <sheetViews>
    <sheetView workbookViewId="0" topLeftCell="A1">
      <selection activeCell="D6" sqref="D6"/>
    </sheetView>
  </sheetViews>
  <sheetFormatPr defaultColWidth="11.421875" defaultRowHeight="12.75"/>
  <cols>
    <col min="1" max="2" width="1.7109375" style="1" customWidth="1"/>
    <col min="3" max="4" width="30.7109375" style="1" customWidth="1"/>
    <col min="5" max="5" width="1.7109375" style="1" customWidth="1"/>
    <col min="6" max="16384" width="9.140625" style="1" customWidth="1"/>
  </cols>
  <sheetData>
    <row r="1" ht="7.5" customHeight="1" thickBot="1"/>
    <row r="2" spans="2:5" ht="24.75" customHeight="1" thickTop="1">
      <c r="B2" s="2"/>
      <c r="C2" s="3" t="s">
        <v>140</v>
      </c>
      <c r="D2" s="5"/>
      <c r="E2" s="6"/>
    </row>
    <row r="3" spans="2:5" ht="18">
      <c r="B3" s="7"/>
      <c r="C3" s="35" t="s">
        <v>114</v>
      </c>
      <c r="D3" s="35"/>
      <c r="E3" s="8"/>
    </row>
    <row r="4" spans="2:5" ht="12.75">
      <c r="B4" s="7"/>
      <c r="C4" s="9"/>
      <c r="D4" s="9"/>
      <c r="E4" s="8"/>
    </row>
    <row r="5" spans="2:5" ht="12.75">
      <c r="B5" s="7"/>
      <c r="C5" s="30" t="s">
        <v>116</v>
      </c>
      <c r="D5" s="30" t="s">
        <v>115</v>
      </c>
      <c r="E5" s="8"/>
    </row>
    <row r="6" spans="2:5" ht="12.75">
      <c r="B6" s="7"/>
      <c r="C6" s="31" t="s">
        <v>91</v>
      </c>
      <c r="D6" s="32" t="s">
        <v>147</v>
      </c>
      <c r="E6" s="8"/>
    </row>
    <row r="7" spans="2:5" ht="12.75">
      <c r="B7" s="7"/>
      <c r="C7" s="31" t="s">
        <v>92</v>
      </c>
      <c r="D7" s="32" t="s">
        <v>148</v>
      </c>
      <c r="E7" s="8"/>
    </row>
    <row r="8" spans="2:5" ht="14.25">
      <c r="B8" s="7"/>
      <c r="C8" s="31" t="s">
        <v>89</v>
      </c>
      <c r="D8" s="32" t="s">
        <v>79</v>
      </c>
      <c r="E8" s="8"/>
    </row>
    <row r="9" spans="2:5" ht="14.25">
      <c r="B9" s="7"/>
      <c r="C9" s="31" t="s">
        <v>89</v>
      </c>
      <c r="D9" s="32" t="s">
        <v>80</v>
      </c>
      <c r="E9" s="8"/>
    </row>
    <row r="10" spans="2:5" ht="14.25">
      <c r="B10" s="7"/>
      <c r="C10" s="31" t="s">
        <v>84</v>
      </c>
      <c r="D10" s="33" t="s">
        <v>74</v>
      </c>
      <c r="E10" s="8"/>
    </row>
    <row r="11" spans="2:5" ht="14.25">
      <c r="B11" s="7"/>
      <c r="C11" s="31" t="s">
        <v>99</v>
      </c>
      <c r="D11" s="32" t="s">
        <v>100</v>
      </c>
      <c r="E11" s="8"/>
    </row>
    <row r="12" spans="2:5" ht="12.75">
      <c r="B12" s="7"/>
      <c r="C12" s="31" t="s">
        <v>97</v>
      </c>
      <c r="D12" s="32" t="s">
        <v>98</v>
      </c>
      <c r="E12" s="8"/>
    </row>
    <row r="13" spans="2:5" ht="12.75">
      <c r="B13" s="7"/>
      <c r="C13" s="31" t="s">
        <v>111</v>
      </c>
      <c r="D13" s="32" t="s">
        <v>110</v>
      </c>
      <c r="E13" s="8"/>
    </row>
    <row r="14" spans="2:5" ht="12.75">
      <c r="B14" s="7"/>
      <c r="C14" s="31" t="s">
        <v>112</v>
      </c>
      <c r="D14" s="32" t="s">
        <v>113</v>
      </c>
      <c r="E14" s="8"/>
    </row>
    <row r="15" spans="2:5" ht="14.25">
      <c r="B15" s="7"/>
      <c r="C15" s="31" t="s">
        <v>26</v>
      </c>
      <c r="D15" s="32" t="s">
        <v>81</v>
      </c>
      <c r="E15" s="8"/>
    </row>
    <row r="16" spans="2:5" ht="12.75">
      <c r="B16" s="7"/>
      <c r="C16" s="31" t="s">
        <v>93</v>
      </c>
      <c r="D16" s="32" t="s">
        <v>94</v>
      </c>
      <c r="E16" s="8"/>
    </row>
    <row r="17" spans="2:5" ht="14.25">
      <c r="B17" s="7"/>
      <c r="C17" s="31" t="s">
        <v>93</v>
      </c>
      <c r="D17" s="33" t="s">
        <v>95</v>
      </c>
      <c r="E17" s="8"/>
    </row>
    <row r="18" spans="2:5" ht="12.75">
      <c r="B18" s="7"/>
      <c r="C18" s="31" t="s">
        <v>43</v>
      </c>
      <c r="D18" s="32" t="s">
        <v>96</v>
      </c>
      <c r="E18" s="8"/>
    </row>
    <row r="19" spans="2:5" ht="12.75">
      <c r="B19" s="7"/>
      <c r="C19" s="31" t="s">
        <v>104</v>
      </c>
      <c r="D19" s="32" t="s">
        <v>105</v>
      </c>
      <c r="E19" s="8"/>
    </row>
    <row r="20" spans="2:5" ht="12.75">
      <c r="B20" s="7"/>
      <c r="C20" s="31" t="s">
        <v>85</v>
      </c>
      <c r="D20" s="32" t="s">
        <v>75</v>
      </c>
      <c r="E20" s="8"/>
    </row>
    <row r="21" spans="2:5" ht="12.75">
      <c r="B21" s="7"/>
      <c r="C21" s="31" t="s">
        <v>86</v>
      </c>
      <c r="D21" s="32" t="s">
        <v>76</v>
      </c>
      <c r="E21" s="8"/>
    </row>
    <row r="22" spans="2:5" ht="12.75">
      <c r="B22" s="7"/>
      <c r="C22" s="31" t="s">
        <v>88</v>
      </c>
      <c r="D22" s="32" t="s">
        <v>78</v>
      </c>
      <c r="E22" s="8"/>
    </row>
    <row r="23" spans="2:5" ht="14.25">
      <c r="B23" s="7"/>
      <c r="C23" s="31" t="s">
        <v>90</v>
      </c>
      <c r="D23" s="32" t="s">
        <v>82</v>
      </c>
      <c r="E23" s="8"/>
    </row>
    <row r="24" spans="2:5" ht="12.75">
      <c r="B24" s="7"/>
      <c r="C24" s="31" t="s">
        <v>90</v>
      </c>
      <c r="D24" s="32" t="s">
        <v>83</v>
      </c>
      <c r="E24" s="8"/>
    </row>
    <row r="25" spans="2:5" ht="12.75">
      <c r="B25" s="7"/>
      <c r="C25" s="31" t="s">
        <v>106</v>
      </c>
      <c r="D25" s="32" t="s">
        <v>107</v>
      </c>
      <c r="E25" s="8"/>
    </row>
    <row r="26" spans="2:5" ht="12.75">
      <c r="B26" s="7"/>
      <c r="C26" s="31" t="s">
        <v>101</v>
      </c>
      <c r="D26" s="32" t="s">
        <v>102</v>
      </c>
      <c r="E26" s="8"/>
    </row>
    <row r="27" spans="2:5" ht="12.75">
      <c r="B27" s="7"/>
      <c r="C27" s="31" t="s">
        <v>101</v>
      </c>
      <c r="D27" s="32" t="s">
        <v>103</v>
      </c>
      <c r="E27" s="8"/>
    </row>
    <row r="28" spans="2:5" ht="12.75">
      <c r="B28" s="7"/>
      <c r="C28" s="31" t="s">
        <v>108</v>
      </c>
      <c r="D28" s="32" t="s">
        <v>109</v>
      </c>
      <c r="E28" s="8"/>
    </row>
    <row r="29" spans="2:5" ht="12.75">
      <c r="B29" s="7"/>
      <c r="C29" s="31" t="s">
        <v>87</v>
      </c>
      <c r="D29" s="32" t="s">
        <v>77</v>
      </c>
      <c r="E29" s="8"/>
    </row>
    <row r="30" spans="2:5" ht="13.5" thickBot="1">
      <c r="B30" s="23"/>
      <c r="C30" s="24"/>
      <c r="D30" s="24"/>
      <c r="E30" s="25"/>
    </row>
    <row r="31" ht="13.5" thickTop="1"/>
  </sheetData>
  <sheetProtection password="CD50" sheet="1" objects="1" scenarios="1" insertColumns="0" insertRows="0"/>
  <mergeCells count="1">
    <mergeCell ref="C3:D3"/>
  </mergeCells>
  <printOptions horizontalCentered="1"/>
  <pageMargins left="0.25" right="0.25" top="1" bottom="1.5" header="0" footer="0.5"/>
  <pageSetup horizontalDpi="300" verticalDpi="300" orientation="portrait" r:id="rId1"/>
  <headerFooter alignWithMargins="0">
    <oddFooter>&amp;L&amp;"Arial,Bold"&amp;8Moly-Cop Tools&amp;"Arial,Regular" / &amp;F&amp;R&amp;8&amp;D   /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A1" sqref="A1"/>
    </sheetView>
  </sheetViews>
  <sheetFormatPr defaultColWidth="11.421875" defaultRowHeight="12.75"/>
  <cols>
    <col min="1" max="2" width="1.7109375" style="1" customWidth="1"/>
    <col min="3" max="4" width="30.7109375" style="1" customWidth="1"/>
    <col min="5" max="5" width="1.7109375" style="1" customWidth="1"/>
    <col min="6" max="16384" width="9.140625" style="1" customWidth="1"/>
  </cols>
  <sheetData>
    <row r="1" ht="7.5" customHeight="1" thickBot="1"/>
    <row r="2" spans="2:5" ht="24.75" customHeight="1" thickTop="1">
      <c r="B2" s="2"/>
      <c r="C2" s="3" t="s">
        <v>140</v>
      </c>
      <c r="D2" s="5"/>
      <c r="E2" s="6"/>
    </row>
    <row r="3" spans="2:5" ht="18">
      <c r="B3" s="7"/>
      <c r="C3" s="35" t="s">
        <v>73</v>
      </c>
      <c r="D3" s="35"/>
      <c r="E3" s="8"/>
    </row>
    <row r="4" spans="2:5" ht="12.75">
      <c r="B4" s="7"/>
      <c r="C4" s="9"/>
      <c r="D4" s="9"/>
      <c r="E4" s="8"/>
    </row>
    <row r="5" spans="2:5" ht="12.75">
      <c r="B5" s="7"/>
      <c r="C5" s="30" t="s">
        <v>117</v>
      </c>
      <c r="D5" s="30" t="s">
        <v>118</v>
      </c>
      <c r="E5" s="8"/>
    </row>
    <row r="6" spans="2:5" ht="14.25">
      <c r="B6" s="7"/>
      <c r="C6" s="31" t="s">
        <v>139</v>
      </c>
      <c r="D6" s="32" t="s">
        <v>127</v>
      </c>
      <c r="E6" s="8"/>
    </row>
    <row r="7" spans="2:5" ht="12.75">
      <c r="B7" s="7"/>
      <c r="C7" s="31" t="s">
        <v>136</v>
      </c>
      <c r="D7" s="32" t="s">
        <v>137</v>
      </c>
      <c r="E7" s="8"/>
    </row>
    <row r="8" spans="2:5" ht="14.25">
      <c r="B8" s="7"/>
      <c r="C8" s="31" t="s">
        <v>136</v>
      </c>
      <c r="D8" s="32" t="s">
        <v>138</v>
      </c>
      <c r="E8" s="8"/>
    </row>
    <row r="9" spans="2:5" ht="14.25">
      <c r="B9" s="7"/>
      <c r="C9" s="31" t="s">
        <v>128</v>
      </c>
      <c r="D9" s="32" t="s">
        <v>129</v>
      </c>
      <c r="E9" s="8"/>
    </row>
    <row r="10" spans="2:5" ht="12.75">
      <c r="B10" s="7"/>
      <c r="C10" s="31" t="s">
        <v>124</v>
      </c>
      <c r="D10" s="32">
        <v>2.71828</v>
      </c>
      <c r="E10" s="8"/>
    </row>
    <row r="11" spans="2:5" ht="12.75">
      <c r="B11" s="7"/>
      <c r="C11" s="31" t="s">
        <v>119</v>
      </c>
      <c r="D11" s="32" t="s">
        <v>120</v>
      </c>
      <c r="E11" s="8"/>
    </row>
    <row r="12" spans="2:5" ht="12.75">
      <c r="B12" s="7"/>
      <c r="C12" s="31" t="s">
        <v>125</v>
      </c>
      <c r="D12" s="32" t="s">
        <v>126</v>
      </c>
      <c r="E12" s="8"/>
    </row>
    <row r="13" spans="2:5" ht="12.75">
      <c r="B13" s="7"/>
      <c r="C13" s="34" t="s">
        <v>130</v>
      </c>
      <c r="D13" s="33" t="s">
        <v>131</v>
      </c>
      <c r="E13" s="8"/>
    </row>
    <row r="14" spans="2:5" ht="12.75">
      <c r="B14" s="7"/>
      <c r="C14" s="31" t="s">
        <v>121</v>
      </c>
      <c r="D14" s="32" t="s">
        <v>122</v>
      </c>
      <c r="E14" s="8"/>
    </row>
    <row r="15" spans="2:5" ht="12.75">
      <c r="B15" s="7"/>
      <c r="C15" s="31" t="s">
        <v>121</v>
      </c>
      <c r="D15" s="32" t="s">
        <v>123</v>
      </c>
      <c r="E15" s="8"/>
    </row>
    <row r="16" spans="2:5" ht="14.25">
      <c r="B16" s="7"/>
      <c r="C16" s="31" t="s">
        <v>134</v>
      </c>
      <c r="D16" s="32" t="s">
        <v>132</v>
      </c>
      <c r="E16" s="8"/>
    </row>
    <row r="17" spans="2:5" ht="12.75">
      <c r="B17" s="7"/>
      <c r="C17" s="31" t="s">
        <v>135</v>
      </c>
      <c r="D17" s="32" t="s">
        <v>133</v>
      </c>
      <c r="E17" s="8"/>
    </row>
    <row r="18" spans="2:5" ht="13.5" thickBot="1">
      <c r="B18" s="23"/>
      <c r="C18" s="24"/>
      <c r="D18" s="24"/>
      <c r="E18" s="25"/>
    </row>
    <row r="19" ht="13.5" thickTop="1"/>
  </sheetData>
  <sheetProtection password="CD50" sheet="1" objects="1" scenarios="1" insertColumns="0" insertRows="0"/>
  <mergeCells count="1">
    <mergeCell ref="C3:D3"/>
  </mergeCells>
  <printOptions horizontalCentered="1"/>
  <pageMargins left="0.25" right="0.25" top="1" bottom="1.5" header="0" footer="0.5"/>
  <pageSetup horizontalDpi="300" verticalDpi="300" orientation="portrait" r:id="rId1"/>
  <headerFooter alignWithMargins="0">
    <oddFooter>&amp;L&amp;"Arial,Bold"&amp;8Moly-Cop Tools&amp;"Arial,Regular" / &amp;F&amp;R&amp;8&amp;D   /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lguzman</cp:lastModifiedBy>
  <cp:lastPrinted>2000-10-17T16:44:06Z</cp:lastPrinted>
  <dcterms:created xsi:type="dcterms:W3CDTF">1999-06-11T16:51:14Z</dcterms:created>
  <dcterms:modified xsi:type="dcterms:W3CDTF">2011-07-01T16:35:04Z</dcterms:modified>
  <cp:category/>
  <cp:version/>
  <cp:contentType/>
  <cp:contentStatus/>
</cp:coreProperties>
</file>