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10" windowHeight="5445" activeTab="2"/>
  </bookViews>
  <sheets>
    <sheet name="About ..." sheetId="1" r:id="rId1"/>
    <sheet name="Control_Panel" sheetId="2" r:id="rId2"/>
    <sheet name="Data_File" sheetId="3" r:id="rId3"/>
    <sheet name="Flowsheet" sheetId="4" r:id="rId4"/>
    <sheet name="Reports" sheetId="5" r:id="rId5"/>
    <sheet name="C" sheetId="6" r:id="rId6"/>
  </sheets>
  <externalReferences>
    <externalReference r:id="rId9"/>
    <externalReference r:id="rId10"/>
    <externalReference r:id="rId11"/>
  </externalReferences>
  <definedNames>
    <definedName name="Actual" localSheetId="0">'[2]Data_File'!#REF!</definedName>
    <definedName name="Actual" localSheetId="1">'Control_Panel'!#REF!</definedName>
    <definedName name="Actual">'Data_File'!#REF!</definedName>
    <definedName name="_xlnm.Print_Area" localSheetId="0">'About ...'!$B$1:$L$109</definedName>
    <definedName name="_xlnm.Print_Area" localSheetId="1">'Control_Panel'!$B$2:$Q$31</definedName>
    <definedName name="_xlnm.Print_Area" localSheetId="2">'Data_File'!$B$2:$V$51</definedName>
    <definedName name="_xlnm.Print_Area" localSheetId="3">'Flowsheet'!$B$2:$O$31</definedName>
    <definedName name="_xlnm.Print_Area" localSheetId="4">'Reports'!$A$1:$J$144</definedName>
    <definedName name="BIJ" localSheetId="0">'[1]J&amp;T'!$B$35:$Z$59</definedName>
    <definedName name="BIJ">#REF!</definedName>
    <definedName name="Delta" localSheetId="0">'[2]Data_File'!#REF!</definedName>
    <definedName name="Delta" localSheetId="1">'Control_Panel'!#REF!</definedName>
    <definedName name="Delta">'Data_File'!#REF!</definedName>
    <definedName name="Guess" localSheetId="0">'[2]Data_File'!#REF!</definedName>
    <definedName name="Guess" localSheetId="1">'Control_Panel'!#REF!</definedName>
    <definedName name="Guess" localSheetId="3">'[3]Data_File'!$D$21</definedName>
    <definedName name="Guess">'Data_File'!#REF!</definedName>
    <definedName name="I" localSheetId="0">'[1]J&amp;T'!$A$66:$A$90</definedName>
    <definedName name="I">#REF!</definedName>
    <definedName name="J" localSheetId="0">'[1]J&amp;T'!$B$65:$Z$65</definedName>
    <definedName name="J">#REF!</definedName>
    <definedName name="SIE" localSheetId="0">'[1]J&amp;T'!$B$95:$Z$95</definedName>
    <definedName name="SIE">#REF!</definedName>
    <definedName name="solver_adj" localSheetId="1" hidden="1">'Control_Panel'!$C$21:$F$21</definedName>
    <definedName name="solver_adj" localSheetId="2" hidden="1">'Data_File'!#REF!</definedName>
    <definedName name="solver_adj" localSheetId="4" hidden="1">'Reports'!$A$15:$C$15</definedName>
    <definedName name="solver_cvg" localSheetId="1" hidden="1">0.001</definedName>
    <definedName name="solver_cvg" localSheetId="2" hidden="1">0.001</definedName>
    <definedName name="solver_drv" localSheetId="1" hidden="1">2</definedName>
    <definedName name="solver_drv" localSheetId="2" hidden="1">1</definedName>
    <definedName name="solver_drv" localSheetId="4" hidden="1">1</definedName>
    <definedName name="solver_est" localSheetId="1" hidden="1">2</definedName>
    <definedName name="solver_est" localSheetId="2" hidden="1">1</definedName>
    <definedName name="solver_est" localSheetId="4" hidden="1">1</definedName>
    <definedName name="solver_itr" localSheetId="1" hidden="1">100</definedName>
    <definedName name="solver_itr" localSheetId="2" hidden="1">100</definedName>
    <definedName name="solver_itr" localSheetId="4" hidden="1">100</definedName>
    <definedName name="solver_lhs1" localSheetId="1" hidden="1">'Control_Panel'!$F$21</definedName>
    <definedName name="solver_lhs1" localSheetId="2" hidden="1">'Data_File'!#REF!</definedName>
    <definedName name="solver_lin" localSheetId="1" hidden="1">2</definedName>
    <definedName name="solver_lin" localSheetId="2" hidden="1">2</definedName>
    <definedName name="solver_lin" localSheetId="4" hidden="1">0</definedName>
    <definedName name="solver_neg" localSheetId="1" hidden="1">1</definedName>
    <definedName name="solver_neg" localSheetId="2" hidden="1">1</definedName>
    <definedName name="solver_num" localSheetId="1" hidden="1">1</definedName>
    <definedName name="solver_num" localSheetId="2" hidden="1">0</definedName>
    <definedName name="solver_num" localSheetId="4" hidden="1">0</definedName>
    <definedName name="solver_nwt" localSheetId="1" hidden="1">2</definedName>
    <definedName name="solver_nwt" localSheetId="2" hidden="1">1</definedName>
    <definedName name="solver_nwt" localSheetId="4" hidden="1">1</definedName>
    <definedName name="solver_opt" localSheetId="1" hidden="1">'Control_Panel'!$E$23</definedName>
    <definedName name="solver_opt" localSheetId="2" hidden="1">'Data_File'!#REF!</definedName>
    <definedName name="solver_opt" localSheetId="4" hidden="1">'Reports'!$D$29</definedName>
    <definedName name="solver_pre" localSheetId="1" hidden="1">0.000001</definedName>
    <definedName name="solver_pre" localSheetId="2" hidden="1">0.000001</definedName>
    <definedName name="solver_pre" localSheetId="4" hidden="1">0.000001</definedName>
    <definedName name="solver_rel1" localSheetId="1" hidden="1">1</definedName>
    <definedName name="solver_rel1" localSheetId="2" hidden="1">3</definedName>
    <definedName name="solver_rhs1" localSheetId="1" hidden="1">'Control_Panel'!$H$21</definedName>
    <definedName name="solver_rhs1" localSheetId="2" hidden="1">0</definedName>
    <definedName name="solver_scl" localSheetId="1" hidden="1">1</definedName>
    <definedName name="solver_scl" localSheetId="2" hidden="1">2</definedName>
    <definedName name="solver_scl" localSheetId="4" hidden="1">0</definedName>
    <definedName name="solver_sho" localSheetId="1" hidden="1">2</definedName>
    <definedName name="solver_sho" localSheetId="2" hidden="1">2</definedName>
    <definedName name="solver_sho" localSheetId="4" hidden="1">0</definedName>
    <definedName name="solver_tim" localSheetId="1" hidden="1">100</definedName>
    <definedName name="solver_tim" localSheetId="2" hidden="1">100</definedName>
    <definedName name="solver_tim" localSheetId="4" hidden="1">100</definedName>
    <definedName name="solver_tol" localSheetId="1" hidden="1">0.05</definedName>
    <definedName name="solver_tol" localSheetId="2" hidden="1">0.05</definedName>
    <definedName name="solver_tol" localSheetId="4" hidden="1">0.05</definedName>
    <definedName name="solver_typ" localSheetId="1" hidden="1">2</definedName>
    <definedName name="solver_typ" localSheetId="2" hidden="1">2</definedName>
    <definedName name="solver_typ" localSheetId="4" hidden="1">2</definedName>
    <definedName name="solver_val" localSheetId="1" hidden="1">0</definedName>
    <definedName name="solver_val" localSheetId="2" hidden="1">0</definedName>
    <definedName name="solver_val" localSheetId="4" hidden="1">0</definedName>
    <definedName name="TIJ" localSheetId="0">'[1]J&amp;T'!$B$66:$Z$90</definedName>
    <definedName name="TIJ">#REF!</definedName>
    <definedName name="TIJINV" localSheetId="0">'[1]J&amp;T'!$B$100:$U$119</definedName>
    <definedName name="TIJINV">#REF!</definedName>
  </definedNames>
  <calcPr fullCalcOnLoad="1"/>
</workbook>
</file>

<file path=xl/comments2.xml><?xml version="1.0" encoding="utf-8"?>
<comments xmlns="http://schemas.openxmlformats.org/spreadsheetml/2006/main">
  <authors>
    <author>Jaime E. Sep?lveda J.</author>
  </authors>
  <commentList>
    <comment ref="E13"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4"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6"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17" authorId="0">
      <text>
        <r>
          <rPr>
            <b/>
            <sz val="8"/>
            <rFont val="Tahoma"/>
            <family val="2"/>
          </rPr>
          <t>Relative Weighting Factor</t>
        </r>
        <r>
          <rPr>
            <sz val="8"/>
            <rFont val="Tahoma"/>
            <family val="2"/>
          </rPr>
          <t xml:space="preserve"> of the % Solids analyses with respect to the Size Distribution analyses.
</t>
        </r>
        <r>
          <rPr>
            <b/>
            <sz val="8"/>
            <rFont val="Tahoma"/>
            <family val="2"/>
          </rPr>
          <t>Default Value : 1</t>
        </r>
      </text>
    </comment>
    <comment ref="E11"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D21" authorId="0">
      <text>
        <r>
          <rPr>
            <sz val="8"/>
            <rFont val="Tahoma"/>
            <family val="2"/>
          </rPr>
          <t xml:space="preserve">Fractional short-circuit of slurry to the cyclone overflow.
</t>
        </r>
        <r>
          <rPr>
            <b/>
            <sz val="8"/>
            <rFont val="Tahoma"/>
            <family val="2"/>
          </rPr>
          <t>Default Value : 0</t>
        </r>
      </text>
    </comment>
    <comment ref="E23"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C21:F21</t>
        </r>
        <r>
          <rPr>
            <sz val="8"/>
            <rFont val="Tahoma"/>
            <family val="2"/>
          </rPr>
          <t>.</t>
        </r>
      </text>
    </comment>
    <comment ref="E26"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7"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8"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9"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30" authorId="0">
      <text>
        <r>
          <rPr>
            <sz val="8"/>
            <rFont val="Tahoma"/>
            <family val="2"/>
          </rPr>
          <t xml:space="preserve">See </t>
        </r>
        <r>
          <rPr>
            <b/>
            <sz val="8"/>
            <rFont val="Tahoma"/>
            <family val="2"/>
          </rPr>
          <t>Cyclosim_Single</t>
        </r>
        <r>
          <rPr>
            <sz val="8"/>
            <rFont val="Tahoma"/>
            <family val="2"/>
          </rPr>
          <t xml:space="preserve"> spreadsheet for further reference.</t>
        </r>
      </text>
    </comment>
  </commentList>
</comments>
</file>

<file path=xl/comments3.xml><?xml version="1.0" encoding="utf-8"?>
<comments xmlns="http://schemas.openxmlformats.org/spreadsheetml/2006/main">
  <authors>
    <author>Jaime E. Sep?lveda J.</author>
    <author>jsepulveda</author>
  </authors>
  <commentList>
    <comment ref="F13" authorId="0">
      <text>
        <r>
          <rPr>
            <b/>
            <sz val="8"/>
            <rFont val="Tahoma"/>
            <family val="2"/>
          </rPr>
          <t>Rotational Mill Speed</t>
        </r>
        <r>
          <rPr>
            <sz val="8"/>
            <rFont val="Tahoma"/>
            <family val="2"/>
          </rPr>
          <t>, expressed as a percentage of the critical centrifugation speed of the mill.</t>
        </r>
      </text>
    </comment>
    <comment ref="H13" authorId="1">
      <text>
        <r>
          <rPr>
            <sz val="8"/>
            <rFont val="Tahoma"/>
            <family val="2"/>
          </rPr>
          <t xml:space="preserve">See </t>
        </r>
        <r>
          <rPr>
            <b/>
            <sz val="8"/>
            <rFont val="Tahoma"/>
            <family val="0"/>
          </rPr>
          <t xml:space="preserve">Mill Power_Ball Mills </t>
        </r>
        <r>
          <rPr>
            <sz val="8"/>
            <rFont val="Tahoma"/>
            <family val="2"/>
          </rPr>
          <t>for further details.</t>
        </r>
      </text>
    </comment>
    <comment ref="K13" authorId="0">
      <text>
        <r>
          <rPr>
            <sz val="8"/>
            <rFont val="Tahoma"/>
            <family val="2"/>
          </rPr>
          <t xml:space="preserve">Represents the so-called </t>
        </r>
        <r>
          <rPr>
            <b/>
            <sz val="8"/>
            <rFont val="Tahoma"/>
            <family val="2"/>
          </rPr>
          <t>Dynamic Angle of Repose (or Lift Angle)</t>
        </r>
        <r>
          <rPr>
            <sz val="8"/>
            <rFont val="Tahoma"/>
            <family val="2"/>
          </rPr>
          <t xml:space="preserve"> adopted during steady operation by the top surface of the mill charge ("the kidney") with respect to the horizontal.  See </t>
        </r>
        <r>
          <rPr>
            <b/>
            <sz val="8"/>
            <rFont val="Tahoma"/>
            <family val="2"/>
          </rPr>
          <t>Mill Power_Ball Mills</t>
        </r>
        <r>
          <rPr>
            <sz val="8"/>
            <rFont val="Tahoma"/>
            <family val="2"/>
          </rPr>
          <t xml:space="preserve"> for further details.</t>
        </r>
      </text>
    </comment>
    <comment ref="F18" authorId="1">
      <text>
        <r>
          <rPr>
            <b/>
            <sz val="8"/>
            <rFont val="Tahoma"/>
            <family val="0"/>
          </rPr>
          <t>Free Cyclone Height</t>
        </r>
        <r>
          <rPr>
            <sz val="8"/>
            <rFont val="Tahoma"/>
            <family val="2"/>
          </rPr>
          <t>,
defined as the distance from the bottom end of the vortex finder to the top end of the apex.</t>
        </r>
      </text>
    </comment>
    <comment ref="E2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I2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2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R2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U2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10" authorId="0">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Ball Charge</t>
        </r>
        <r>
          <rPr>
            <sz val="8"/>
            <rFont val="Tahoma"/>
            <family val="2"/>
          </rPr>
          <t>.</t>
        </r>
      </text>
    </comment>
    <comment ref="L11" authorId="0">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Overfilling Slurry</t>
        </r>
        <r>
          <rPr>
            <sz val="8"/>
            <rFont val="Tahoma"/>
            <family val="2"/>
          </rPr>
          <t xml:space="preserve"> on top of the "kidney".</t>
        </r>
      </text>
    </comment>
    <comment ref="L12" authorId="0">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Interstitial Slurry</t>
        </r>
        <r>
          <rPr>
            <sz val="8"/>
            <rFont val="Tahoma"/>
            <family val="2"/>
          </rPr>
          <t xml:space="preserve"> in the ball charge.</t>
        </r>
      </text>
    </comment>
    <comment ref="L13" authorId="1">
      <text>
        <r>
          <rPr>
            <b/>
            <sz val="8"/>
            <rFont val="Tahoma"/>
            <family val="0"/>
          </rPr>
          <t>Net Mill Power Draw</t>
        </r>
        <r>
          <rPr>
            <sz val="8"/>
            <rFont val="Tahoma"/>
            <family val="2"/>
          </rPr>
          <t xml:space="preserve">.
See </t>
        </r>
        <r>
          <rPr>
            <b/>
            <sz val="8"/>
            <rFont val="Tahoma"/>
            <family val="0"/>
          </rPr>
          <t>About ...</t>
        </r>
        <r>
          <rPr>
            <sz val="8"/>
            <rFont val="Tahoma"/>
            <family val="2"/>
          </rPr>
          <t xml:space="preserve"> in the </t>
        </r>
        <r>
          <rPr>
            <b/>
            <sz val="8"/>
            <rFont val="Tahoma"/>
            <family val="0"/>
          </rPr>
          <t>Mill Power_Ball Mills</t>
        </r>
        <r>
          <rPr>
            <sz val="8"/>
            <rFont val="Tahoma"/>
            <family val="2"/>
          </rPr>
          <t xml:space="preserve"> spreadsheet.</t>
        </r>
      </text>
    </comment>
    <comment ref="S13" authorId="0">
      <text>
        <r>
          <rPr>
            <sz val="8"/>
            <rFont val="Tahoma"/>
            <family val="2"/>
          </rPr>
          <t xml:space="preserve">Corresponds to the ratio between the </t>
        </r>
        <r>
          <rPr>
            <b/>
            <sz val="8"/>
            <rFont val="Tahoma"/>
            <family val="2"/>
          </rPr>
          <t>Total Charge Weight</t>
        </r>
        <r>
          <rPr>
            <sz val="8"/>
            <rFont val="Tahoma"/>
            <family val="2"/>
          </rPr>
          <t xml:space="preserve"> and its </t>
        </r>
        <r>
          <rPr>
            <b/>
            <sz val="8"/>
            <rFont val="Tahoma"/>
            <family val="2"/>
          </rPr>
          <t>Apparent Volume</t>
        </r>
        <r>
          <rPr>
            <sz val="8"/>
            <rFont val="Tahoma"/>
            <family val="2"/>
          </rPr>
          <t xml:space="preserve"> (including interstitial voids).</t>
        </r>
      </text>
    </comment>
    <comment ref="G13" authorId="0">
      <text>
        <r>
          <rPr>
            <b/>
            <sz val="8"/>
            <rFont val="Tahoma"/>
            <family val="0"/>
          </rPr>
          <t>Total Apparent Volumetric Charge Filling -</t>
        </r>
        <r>
          <rPr>
            <sz val="8"/>
            <rFont val="Tahoma"/>
            <family val="2"/>
          </rPr>
          <t xml:space="preserve"> including balls and excess slurry on top of the ball charge, plus the interstitial voids in between the balls - expressed as a percentage of the net internal mill volume (inside liners).</t>
        </r>
      </text>
    </comment>
    <comment ref="I13" authorId="0">
      <text>
        <r>
          <rPr>
            <sz val="8"/>
            <rFont val="Tahoma"/>
            <family val="2"/>
          </rPr>
          <t xml:space="preserve">This value represents the </t>
        </r>
        <r>
          <rPr>
            <b/>
            <sz val="8"/>
            <rFont val="Tahoma"/>
            <family val="2"/>
          </rPr>
          <t>Volumetric Fractional Filling of the Voids</t>
        </r>
        <r>
          <rPr>
            <sz val="8"/>
            <rFont val="Tahoma"/>
            <family val="2"/>
          </rPr>
          <t xml:space="preserve"> in between the balls by the retained slurry in the mill charge.
As defined, this value should never exceed 100%, but in some cases - particularly in </t>
        </r>
        <r>
          <rPr>
            <b/>
            <sz val="8"/>
            <rFont val="Tahoma"/>
            <family val="2"/>
          </rPr>
          <t>Grate Discharge Mills</t>
        </r>
        <r>
          <rPr>
            <sz val="8"/>
            <rFont val="Tahoma"/>
            <family val="2"/>
          </rPr>
          <t xml:space="preserve"> - it could be lower than 100%.
Note that this</t>
        </r>
        <r>
          <rPr>
            <b/>
            <sz val="8"/>
            <rFont val="Tahoma"/>
            <family val="2"/>
          </rPr>
          <t xml:space="preserve"> interstitial</t>
        </r>
        <r>
          <rPr>
            <sz val="8"/>
            <rFont val="Tahoma"/>
            <family val="2"/>
          </rPr>
          <t xml:space="preserve"> slurry does not include the </t>
        </r>
        <r>
          <rPr>
            <b/>
            <sz val="8"/>
            <rFont val="Tahoma"/>
            <family val="2"/>
          </rPr>
          <t>overfilling</t>
        </r>
        <r>
          <rPr>
            <sz val="8"/>
            <rFont val="Tahoma"/>
            <family val="2"/>
          </rPr>
          <t xml:space="preserve"> slurry derived from the difference between </t>
        </r>
        <r>
          <rPr>
            <sz val="8"/>
            <color indexed="10"/>
            <rFont val="Tahoma"/>
            <family val="2"/>
          </rPr>
          <t xml:space="preserve">Cells G13 </t>
        </r>
        <r>
          <rPr>
            <sz val="8"/>
            <rFont val="Tahoma"/>
            <family val="2"/>
          </rPr>
          <t>and</t>
        </r>
        <r>
          <rPr>
            <sz val="8"/>
            <color indexed="10"/>
            <rFont val="Tahoma"/>
            <family val="2"/>
          </rPr>
          <t xml:space="preserve"> H13</t>
        </r>
        <r>
          <rPr>
            <sz val="8"/>
            <rFont val="Tahoma"/>
            <family val="2"/>
          </rPr>
          <t>.</t>
        </r>
      </text>
    </comment>
  </commentList>
</comments>
</file>

<file path=xl/sharedStrings.xml><?xml version="1.0" encoding="utf-8"?>
<sst xmlns="http://schemas.openxmlformats.org/spreadsheetml/2006/main" count="337" uniqueCount="215">
  <si>
    <t>Mesh</t>
  </si>
  <si>
    <t>Opening</t>
  </si>
  <si>
    <t>i</t>
  </si>
  <si>
    <t>Mid-Size</t>
  </si>
  <si>
    <t>Mill</t>
  </si>
  <si>
    <t>Feed</t>
  </si>
  <si>
    <t>Fresh</t>
  </si>
  <si>
    <t>Discharge</t>
  </si>
  <si>
    <t>Cyclone</t>
  </si>
  <si>
    <t>U'flow</t>
  </si>
  <si>
    <t>O'flow</t>
  </si>
  <si>
    <t>Sump</t>
  </si>
  <si>
    <t>Water</t>
  </si>
  <si>
    <t>Total</t>
  </si>
  <si>
    <t>Slurry, tons</t>
  </si>
  <si>
    <t>Solids, tons</t>
  </si>
  <si>
    <t>Slurry, m3/hr</t>
  </si>
  <si>
    <t>Water, m3/hr</t>
  </si>
  <si>
    <t>% Solids (by volume)</t>
  </si>
  <si>
    <t>% Solids (by weight)</t>
  </si>
  <si>
    <t>Solids Density, ton/m3</t>
  </si>
  <si>
    <t>Slurry Density, ton/m3</t>
  </si>
  <si>
    <t>Classifier Constants</t>
  </si>
  <si>
    <t>a1</t>
  </si>
  <si>
    <t>a2</t>
  </si>
  <si>
    <t>a3</t>
  </si>
  <si>
    <t>a4</t>
  </si>
  <si>
    <t>l</t>
  </si>
  <si>
    <t>DC</t>
  </si>
  <si>
    <t>h</t>
  </si>
  <si>
    <t>DI</t>
  </si>
  <si>
    <t>DO</t>
  </si>
  <si>
    <t>DU</t>
  </si>
  <si>
    <t>Classifier Dimensions, inches.</t>
  </si>
  <si>
    <t>Slurry Split, S</t>
  </si>
  <si>
    <t>Circulating Load, CL</t>
  </si>
  <si>
    <t>Cyclone Pressure, lb/in2</t>
  </si>
  <si>
    <t>Corrected Cut Size, d50c, microns</t>
  </si>
  <si>
    <t>Water By-Pass</t>
  </si>
  <si>
    <t>Cyclone Pressure, ft</t>
  </si>
  <si>
    <t>Number of Cyclones</t>
  </si>
  <si>
    <t>Classifier</t>
  </si>
  <si>
    <t>Efficiency</t>
  </si>
  <si>
    <t>Plitt's Parameter</t>
  </si>
  <si>
    <t>Remarks</t>
  </si>
  <si>
    <t>Circuit Type</t>
  </si>
  <si>
    <t>Mill Dimensions and Operating Conditions</t>
  </si>
  <si>
    <t>% Critical</t>
  </si>
  <si>
    <t>Diameter</t>
  </si>
  <si>
    <t>Speed</t>
  </si>
  <si>
    <t>Lift</t>
  </si>
  <si>
    <t>Angle, (°)</t>
  </si>
  <si>
    <t>ft</t>
  </si>
  <si>
    <t>ton/m3</t>
  </si>
  <si>
    <t>Number</t>
  </si>
  <si>
    <t>% Retained</t>
  </si>
  <si>
    <t>% Passing</t>
  </si>
  <si>
    <t>ton/hr</t>
  </si>
  <si>
    <t>Actual</t>
  </si>
  <si>
    <t>Ore Density, ton/m3</t>
  </si>
  <si>
    <t>Size Distributions</t>
  </si>
  <si>
    <t>D80, microns</t>
  </si>
  <si>
    <t>Inlet</t>
  </si>
  <si>
    <t>Vortex</t>
  </si>
  <si>
    <t>Apex</t>
  </si>
  <si>
    <t>Number of Cyclones :</t>
  </si>
  <si>
    <t>Height</t>
  </si>
  <si>
    <t>Operating Conditions :</t>
  </si>
  <si>
    <t>D50 (corr.), microns</t>
  </si>
  <si>
    <t>Cyclone Dimensions, in :</t>
  </si>
  <si>
    <t>Feed Flowrate, m3/hr</t>
  </si>
  <si>
    <t>Pressure, psi</t>
  </si>
  <si>
    <t>Water By-Pass, %</t>
  </si>
  <si>
    <t>Solids By-Pass, %</t>
  </si>
  <si>
    <t>Circulating Load, %</t>
  </si>
  <si>
    <t>Corrected</t>
  </si>
  <si>
    <t>Classifier Efficiency</t>
  </si>
  <si>
    <t>Size Distributions, % Passing</t>
  </si>
  <si>
    <t>Speed, % Critical</t>
  </si>
  <si>
    <t>App. Density, ton/m3</t>
  </si>
  <si>
    <t>Charge Level, %</t>
  </si>
  <si>
    <t>Lift Angle, (°)</t>
  </si>
  <si>
    <t>Reduction Ratio</t>
  </si>
  <si>
    <t>Throughput, ton/hr</t>
  </si>
  <si>
    <t>Sp. Energy, KWH/ton</t>
  </si>
  <si>
    <t>Classifier Constants :</t>
  </si>
  <si>
    <t>Bpf</t>
  </si>
  <si>
    <t>Mass Balance around the Classifiers</t>
  </si>
  <si>
    <t>CLASSIFIERS PERFORMANCE</t>
  </si>
  <si>
    <t>BALL MILL PERFORMANCE</t>
  </si>
  <si>
    <t xml:space="preserve">  Ore, ton/hr</t>
  </si>
  <si>
    <t xml:space="preserve">  Water, m3/hr</t>
  </si>
  <si>
    <t xml:space="preserve">  Slurry, ton/hr</t>
  </si>
  <si>
    <t xml:space="preserve">  Slurry, m3/hr</t>
  </si>
  <si>
    <t xml:space="preserve">  Slurry Dens., ton/m3</t>
  </si>
  <si>
    <t xml:space="preserve">  % Solids (by volume)</t>
  </si>
  <si>
    <t xml:space="preserve">  % Solids (by weight)</t>
  </si>
  <si>
    <r>
      <t>Particle Size Distributions</t>
    </r>
    <r>
      <rPr>
        <b/>
        <i/>
        <sz val="10"/>
        <rFont val="Arial"/>
        <family val="2"/>
      </rPr>
      <t xml:space="preserve"> </t>
    </r>
    <r>
      <rPr>
        <i/>
        <sz val="10"/>
        <rFont val="Arial"/>
        <family val="2"/>
      </rPr>
      <t>(Cummulative % Passing)</t>
    </r>
  </si>
  <si>
    <t xml:space="preserve">  Specific Energy Consumption :</t>
  </si>
  <si>
    <t xml:space="preserve">  Operational Work Index :</t>
  </si>
  <si>
    <t xml:space="preserve">  D80, microns</t>
  </si>
  <si>
    <t>Sample N°</t>
  </si>
  <si>
    <t>Fresh Feed</t>
  </si>
  <si>
    <t>% Solids</t>
  </si>
  <si>
    <t>Load</t>
  </si>
  <si>
    <t>CL (ave)</t>
  </si>
  <si>
    <t>Circ.</t>
  </si>
  <si>
    <t>Cyclone Feed (pre-adjusted)</t>
  </si>
  <si>
    <t>Lambda</t>
  </si>
  <si>
    <t>adj.</t>
  </si>
  <si>
    <t>psi</t>
  </si>
  <si>
    <t>Initial Guesses :</t>
  </si>
  <si>
    <t>Bpc</t>
  </si>
  <si>
    <t>d50c</t>
  </si>
  <si>
    <t>m</t>
  </si>
  <si>
    <t>Fines By-Pass</t>
  </si>
  <si>
    <t>Coarse By-Pass</t>
  </si>
  <si>
    <t>Cyclone U'flow</t>
  </si>
  <si>
    <t>Cyclone O'flow</t>
  </si>
  <si>
    <t>Cyclone O'flow (pre-adjusted)</t>
  </si>
  <si>
    <t>Overall</t>
  </si>
  <si>
    <t>ton/hr (model)</t>
  </si>
  <si>
    <t>(Weighted Error)^2</t>
  </si>
  <si>
    <t>Totals</t>
  </si>
  <si>
    <t>BALLBAL</t>
  </si>
  <si>
    <t>Grinding Circuit Mass Balance Estimator</t>
  </si>
  <si>
    <t>Mill Discharge</t>
  </si>
  <si>
    <t>Cyclone Feed</t>
  </si>
  <si>
    <t>Weighting Factor</t>
  </si>
  <si>
    <t>Cyclone U'flow (pre-adjusted)</t>
  </si>
  <si>
    <t>% Passing (exp)</t>
  </si>
  <si>
    <t>% Passing (model)</t>
  </si>
  <si>
    <t>% Retained (model)</t>
  </si>
  <si>
    <t>DIRECT</t>
  </si>
  <si>
    <t>Configuration : DIRECT</t>
  </si>
  <si>
    <t xml:space="preserve"> </t>
  </si>
  <si>
    <t>Obj. Function :</t>
  </si>
  <si>
    <t>Weighting Factors :</t>
  </si>
  <si>
    <t>Streams :</t>
  </si>
  <si>
    <t xml:space="preserve">  Fresh Feed</t>
  </si>
  <si>
    <t xml:space="preserve">  Mill Discharge</t>
  </si>
  <si>
    <t xml:space="preserve">  Cyclone Feed</t>
  </si>
  <si>
    <t xml:space="preserve">  Cyclone U'flow</t>
  </si>
  <si>
    <t xml:space="preserve">  Cyclone O'flow</t>
  </si>
  <si>
    <t>W. Factors</t>
  </si>
  <si>
    <t>Circ. Load</t>
  </si>
  <si>
    <t xml:space="preserve"> Base Case Example</t>
  </si>
  <si>
    <t>EXPERIMENTAL SIZE DISTRIBUTIONS</t>
  </si>
  <si>
    <r>
      <t>Ballbal_Direct :</t>
    </r>
    <r>
      <rPr>
        <b/>
        <sz val="12"/>
        <color indexed="8"/>
        <rFont val="Arial"/>
        <family val="2"/>
      </rPr>
      <t xml:space="preserve"> MASS BALANCE CLOSURE AROUND A BALL MILL GRINDING CIRCUIT</t>
    </r>
  </si>
  <si>
    <t>Cyclone Dimensions (inches) and Operating Pressure (psi)</t>
  </si>
  <si>
    <r>
      <t xml:space="preserve">About the </t>
    </r>
    <r>
      <rPr>
        <b/>
        <i/>
        <sz val="10"/>
        <color indexed="18"/>
        <rFont val="Arial"/>
        <family val="2"/>
      </rPr>
      <t>Ballbal_Direct</t>
    </r>
    <r>
      <rPr>
        <i/>
        <sz val="10"/>
        <color indexed="18"/>
        <rFont val="Arial"/>
        <family val="2"/>
      </rPr>
      <t xml:space="preserve"> Spreadsheet ...</t>
    </r>
  </si>
  <si>
    <t xml:space="preserve">  % Solids</t>
  </si>
  <si>
    <t xml:space="preserve">psi  </t>
  </si>
  <si>
    <t xml:space="preserve">  P80</t>
  </si>
  <si>
    <t xml:space="preserve"># of Cyclones  </t>
  </si>
  <si>
    <t xml:space="preserve">Vortex  </t>
  </si>
  <si>
    <t xml:space="preserve">Circ. Load  </t>
  </si>
  <si>
    <t xml:space="preserve">Apex  </t>
  </si>
  <si>
    <t xml:space="preserve">  Bpf</t>
  </si>
  <si>
    <t xml:space="preserve">  Bpw</t>
  </si>
  <si>
    <t xml:space="preserve">% Solids  </t>
  </si>
  <si>
    <t xml:space="preserve">F80  </t>
  </si>
  <si>
    <t xml:space="preserve">kWh/ton  </t>
  </si>
  <si>
    <t xml:space="preserve">Wio  </t>
  </si>
  <si>
    <t xml:space="preserve">% Critical  </t>
  </si>
  <si>
    <r>
      <t>Note</t>
    </r>
    <r>
      <rPr>
        <sz val="10"/>
        <color indexed="9"/>
        <rFont val="Arial"/>
        <family val="2"/>
      </rPr>
      <t xml:space="preserve"> : Current calculations are not valid, if SOLVER has not been run after the last data modification.</t>
    </r>
  </si>
  <si>
    <r>
      <t xml:space="preserve">     m</t>
    </r>
    <r>
      <rPr>
        <vertAlign val="superscript"/>
        <sz val="10"/>
        <rFont val="Arial"/>
        <family val="2"/>
      </rPr>
      <t>3</t>
    </r>
    <r>
      <rPr>
        <sz val="10"/>
        <rFont val="Arial"/>
        <family val="2"/>
      </rPr>
      <t xml:space="preserve">/hr    </t>
    </r>
  </si>
  <si>
    <t xml:space="preserve">Water,  </t>
  </si>
  <si>
    <t xml:space="preserve">  % - Size 18</t>
  </si>
  <si>
    <t xml:space="preserve">ton/hr  </t>
  </si>
  <si>
    <r>
      <t>BALLBAL :</t>
    </r>
    <r>
      <rPr>
        <b/>
        <sz val="12"/>
        <rFont val="Arial"/>
        <family val="2"/>
      </rPr>
      <t xml:space="preserve"> Mass Balance Closure around a Ball Mill Grinding Circuit</t>
    </r>
  </si>
  <si>
    <t>CIRCUIT MASS BALANCE</t>
  </si>
  <si>
    <t>Feedrate, ton/hr (dry)</t>
  </si>
  <si>
    <t xml:space="preserve"> Balls</t>
  </si>
  <si>
    <t>Charge</t>
  </si>
  <si>
    <t>Balls</t>
  </si>
  <si>
    <t>Interstitial</t>
  </si>
  <si>
    <t xml:space="preserve"> Overfilling</t>
  </si>
  <si>
    <t>Filling,%</t>
  </si>
  <si>
    <t>Slurry Filling,%</t>
  </si>
  <si>
    <t xml:space="preserve"> Slurry</t>
  </si>
  <si>
    <t xml:space="preserve"> Net Power</t>
  </si>
  <si>
    <t xml:space="preserve"> % Losses</t>
  </si>
  <si>
    <t xml:space="preserve"> Gross kW</t>
  </si>
  <si>
    <t>Mill Charge Weight, tons</t>
  </si>
  <si>
    <t>Apparent</t>
  </si>
  <si>
    <t>Volume,</t>
  </si>
  <si>
    <t>Ball</t>
  </si>
  <si>
    <t>Slurry</t>
  </si>
  <si>
    <t>Density</t>
  </si>
  <si>
    <t>m3</t>
  </si>
  <si>
    <t>Excess</t>
  </si>
  <si>
    <t>Balls Density, ton/m3</t>
  </si>
  <si>
    <t xml:space="preserve">  KWH/ton (Gross)</t>
  </si>
  <si>
    <t xml:space="preserve">  KWH/ton</t>
  </si>
  <si>
    <r>
      <t xml:space="preserve">Mill Power, kW </t>
    </r>
    <r>
      <rPr>
        <sz val="8"/>
        <rFont val="Arial"/>
        <family val="2"/>
      </rPr>
      <t>(Net)</t>
    </r>
  </si>
  <si>
    <r>
      <t xml:space="preserve">Mill Power, kW </t>
    </r>
    <r>
      <rPr>
        <sz val="8"/>
        <rFont val="Arial"/>
        <family val="2"/>
      </rPr>
      <t>(Gross)</t>
    </r>
  </si>
  <si>
    <t>Balls Filling, %</t>
  </si>
  <si>
    <t xml:space="preserve">% Balls  </t>
  </si>
  <si>
    <t>rpm</t>
  </si>
  <si>
    <t xml:space="preserve">Gross kW  </t>
  </si>
  <si>
    <t>Eff. Diam.</t>
  </si>
  <si>
    <t>Eff. Length</t>
  </si>
  <si>
    <t>Eff. Diameter, ft</t>
  </si>
  <si>
    <t>Eff. Length, ft</t>
  </si>
  <si>
    <r>
      <t xml:space="preserve">Moly-Cop Tools </t>
    </r>
    <r>
      <rPr>
        <vertAlign val="superscript"/>
        <sz val="12"/>
        <color indexed="18"/>
        <rFont val="Comic Sans MS"/>
        <family val="4"/>
      </rPr>
      <t xml:space="preserve">TM   </t>
    </r>
    <r>
      <rPr>
        <sz val="12"/>
        <color indexed="18"/>
        <rFont val="Comic Sans MS"/>
        <family val="4"/>
      </rPr>
      <t>(Version 2.0)</t>
    </r>
  </si>
  <si>
    <t>Moly-Cop Tools, Version 2.0</t>
  </si>
  <si>
    <t>NO DATA INPUT REQUIRED IN THIS GREEN AREA</t>
  </si>
  <si>
    <t xml:space="preserve">Default Values:  </t>
  </si>
  <si>
    <t xml:space="preserve">Sample N°  </t>
  </si>
  <si>
    <t>Remarks:</t>
  </si>
  <si>
    <t xml:space="preserve">Sample:  </t>
  </si>
  <si>
    <r>
      <t>Moly-Cop Tools</t>
    </r>
    <r>
      <rPr>
        <vertAlign val="superscript"/>
        <sz val="10"/>
        <rFont val="Arial"/>
        <family val="2"/>
      </rPr>
      <t>TM</t>
    </r>
    <r>
      <rPr>
        <sz val="10"/>
        <rFont val="Arial"/>
        <family val="2"/>
      </rPr>
      <t>, Version 2.0</t>
    </r>
  </si>
  <si>
    <t>Arbiter's Flow Number</t>
  </si>
  <si>
    <r>
      <t xml:space="preserve">About the </t>
    </r>
    <r>
      <rPr>
        <b/>
        <i/>
        <sz val="10"/>
        <color indexed="18"/>
        <rFont val="Arial"/>
        <family val="2"/>
      </rPr>
      <t>BallBal_Direct</t>
    </r>
    <r>
      <rPr>
        <i/>
        <sz val="10"/>
        <color indexed="18"/>
        <rFont val="Arial"/>
        <family val="2"/>
      </rPr>
      <t xml:space="preserve"> Spreadsheet ...</t>
    </r>
  </si>
</sst>
</file>

<file path=xl/styles.xml><?xml version="1.0" encoding="utf-8"?>
<styleSheet xmlns="http://schemas.openxmlformats.org/spreadsheetml/2006/main">
  <numFmts count="3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00000"/>
    <numFmt numFmtId="179" formatCode="0.000"/>
    <numFmt numFmtId="180" formatCode="0.0"/>
    <numFmt numFmtId="181" formatCode="0.0000"/>
    <numFmt numFmtId="182" formatCode="0.00_);[Red]\(0.00\)"/>
    <numFmt numFmtId="183" formatCode="0.00000_);[Red]\(0.00000\)"/>
    <numFmt numFmtId="184" formatCode="0.0000000"/>
    <numFmt numFmtId="185" formatCode="0.000000"/>
    <numFmt numFmtId="186" formatCode="0.0000000000000"/>
    <numFmt numFmtId="187" formatCode="0.00000000"/>
    <numFmt numFmtId="188" formatCode="0.00\ \ "/>
    <numFmt numFmtId="189" formatCode="0\ \ "/>
    <numFmt numFmtId="190" formatCode="0.0\ \ "/>
    <numFmt numFmtId="191" formatCode="0.000000000000"/>
    <numFmt numFmtId="192" formatCode="0.000\ \ "/>
    <numFmt numFmtId="193" formatCode="#,##0_)\ ;\(#,##0\)\ "/>
    <numFmt numFmtId="194" formatCode="0.000\ \ \ "/>
  </numFmts>
  <fonts count="42">
    <font>
      <sz val="10"/>
      <name val="Arial"/>
      <family val="0"/>
    </font>
    <font>
      <b/>
      <sz val="10"/>
      <name val="Arial"/>
      <family val="0"/>
    </font>
    <font>
      <i/>
      <sz val="10"/>
      <name val="Arial"/>
      <family val="0"/>
    </font>
    <font>
      <b/>
      <i/>
      <sz val="10"/>
      <name val="Arial"/>
      <family val="0"/>
    </font>
    <font>
      <sz val="10"/>
      <name val="Symbol"/>
      <family val="1"/>
    </font>
    <font>
      <sz val="8"/>
      <name val="Arial"/>
      <family val="2"/>
    </font>
    <font>
      <b/>
      <sz val="12"/>
      <name val="Arial"/>
      <family val="2"/>
    </font>
    <font>
      <b/>
      <sz val="13"/>
      <name val="Arial"/>
      <family val="2"/>
    </font>
    <font>
      <sz val="10"/>
      <color indexed="13"/>
      <name val="Arial"/>
      <family val="2"/>
    </font>
    <font>
      <b/>
      <sz val="10"/>
      <color indexed="10"/>
      <name val="Arial"/>
      <family val="2"/>
    </font>
    <font>
      <sz val="15.5"/>
      <name val="Arial"/>
      <family val="0"/>
    </font>
    <font>
      <b/>
      <sz val="8"/>
      <name val="Arial"/>
      <family val="2"/>
    </font>
    <font>
      <b/>
      <i/>
      <sz val="10"/>
      <color indexed="18"/>
      <name val="Arial"/>
      <family val="2"/>
    </font>
    <font>
      <i/>
      <sz val="10"/>
      <color indexed="18"/>
      <name val="Arial"/>
      <family val="2"/>
    </font>
    <font>
      <sz val="12"/>
      <color indexed="18"/>
      <name val="Comic Sans MS"/>
      <family val="4"/>
    </font>
    <font>
      <vertAlign val="superscript"/>
      <sz val="12"/>
      <color indexed="18"/>
      <name val="Comic Sans MS"/>
      <family val="4"/>
    </font>
    <font>
      <b/>
      <sz val="12"/>
      <color indexed="18"/>
      <name val="Arial"/>
      <family val="2"/>
    </font>
    <font>
      <b/>
      <sz val="12"/>
      <color indexed="8"/>
      <name val="Arial"/>
      <family val="2"/>
    </font>
    <font>
      <b/>
      <sz val="8"/>
      <name val="Tahoma"/>
      <family val="2"/>
    </font>
    <font>
      <sz val="8"/>
      <name val="Tahoma"/>
      <family val="2"/>
    </font>
    <font>
      <sz val="8"/>
      <color indexed="10"/>
      <name val="Tahoma"/>
      <family val="2"/>
    </font>
    <font>
      <b/>
      <sz val="10"/>
      <color indexed="18"/>
      <name val="Arial"/>
      <family val="2"/>
    </font>
    <font>
      <vertAlign val="subscript"/>
      <sz val="10"/>
      <name val="Arial"/>
      <family val="2"/>
    </font>
    <font>
      <b/>
      <vertAlign val="subscript"/>
      <sz val="10"/>
      <name val="Arial"/>
      <family val="2"/>
    </font>
    <font>
      <b/>
      <vertAlign val="superscript"/>
      <sz val="10"/>
      <name val="Arial"/>
      <family val="2"/>
    </font>
    <font>
      <u val="single"/>
      <sz val="10"/>
      <name val="Arial"/>
      <family val="2"/>
    </font>
    <font>
      <i/>
      <vertAlign val="subscript"/>
      <sz val="10"/>
      <name val="Arial"/>
      <family val="2"/>
    </font>
    <font>
      <i/>
      <vertAlign val="superscript"/>
      <sz val="10"/>
      <name val="Arial"/>
      <family val="2"/>
    </font>
    <font>
      <b/>
      <sz val="10"/>
      <name val="Symbol"/>
      <family val="1"/>
    </font>
    <font>
      <b/>
      <sz val="16"/>
      <name val="Symbol"/>
      <family val="1"/>
    </font>
    <font>
      <vertAlign val="superscript"/>
      <sz val="10"/>
      <name val="Arial"/>
      <family val="2"/>
    </font>
    <font>
      <sz val="10"/>
      <color indexed="23"/>
      <name val="Arial"/>
      <family val="0"/>
    </font>
    <font>
      <sz val="10"/>
      <color indexed="23"/>
      <name val="Symbol"/>
      <family val="1"/>
    </font>
    <font>
      <u val="single"/>
      <sz val="9"/>
      <color indexed="36"/>
      <name val="Arial"/>
      <family val="0"/>
    </font>
    <font>
      <u val="single"/>
      <sz val="9"/>
      <color indexed="12"/>
      <name val="Arial"/>
      <family val="0"/>
    </font>
    <font>
      <i/>
      <sz val="8"/>
      <color indexed="18"/>
      <name val="Comic Sans MS"/>
      <family val="4"/>
    </font>
    <font>
      <sz val="10"/>
      <color indexed="9"/>
      <name val="Arial"/>
      <family val="2"/>
    </font>
    <font>
      <b/>
      <sz val="10"/>
      <color indexed="9"/>
      <name val="Arial"/>
      <family val="2"/>
    </font>
    <font>
      <u val="single"/>
      <sz val="8"/>
      <name val="Tahoma"/>
      <family val="2"/>
    </font>
    <font>
      <sz val="10"/>
      <color indexed="8"/>
      <name val="Arial"/>
      <family val="2"/>
    </font>
    <font>
      <b/>
      <sz val="10"/>
      <color indexed="8"/>
      <name val="Arial"/>
      <family val="2"/>
    </font>
    <font>
      <b/>
      <sz val="10"/>
      <color indexed="5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8"/>
        <bgColor indexed="64"/>
      </patternFill>
    </fill>
  </fills>
  <borders count="48">
    <border>
      <left/>
      <right/>
      <top/>
      <bottom/>
      <diagonal/>
    </border>
    <border>
      <left>
        <color indexed="63"/>
      </left>
      <right>
        <color indexed="63"/>
      </right>
      <top>
        <color indexed="63"/>
      </top>
      <bottom style="thin"/>
    </border>
    <border>
      <left>
        <color indexed="63"/>
      </left>
      <right>
        <color indexed="63"/>
      </right>
      <top style="thin"/>
      <bottom style="thin"/>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double">
        <color indexed="10"/>
      </right>
      <top style="thin"/>
      <bottom>
        <color indexed="63"/>
      </bottom>
    </border>
    <border>
      <left>
        <color indexed="63"/>
      </left>
      <right style="double">
        <color indexed="10"/>
      </right>
      <top>
        <color indexed="63"/>
      </top>
      <bottom style="thin"/>
    </border>
    <border>
      <left style="thin"/>
      <right>
        <color indexed="63"/>
      </right>
      <top style="thin"/>
      <bottom style="thin"/>
    </border>
    <border>
      <left>
        <color indexed="63"/>
      </left>
      <right style="thin"/>
      <top style="thin"/>
      <bottom style="thin"/>
    </border>
    <border>
      <left style="thin"/>
      <right style="double">
        <color indexed="10"/>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style="thin">
        <color indexed="8"/>
      </left>
      <right style="thin"/>
      <top style="thin"/>
      <bottom style="thin"/>
    </border>
    <border>
      <left style="double">
        <color indexed="10"/>
      </left>
      <right>
        <color indexed="63"/>
      </right>
      <top style="double">
        <color indexed="10"/>
      </top>
      <bottom>
        <color indexed="63"/>
      </bottom>
    </border>
    <border>
      <left style="double">
        <color indexed="10"/>
      </left>
      <right style="double">
        <color indexed="10"/>
      </right>
      <top>
        <color indexed="63"/>
      </top>
      <bottom style="thin"/>
    </border>
    <border>
      <left style="double">
        <color indexed="10"/>
      </left>
      <right>
        <color indexed="63"/>
      </right>
      <top>
        <color indexed="63"/>
      </top>
      <bottom style="thin"/>
    </border>
    <border>
      <left style="thin"/>
      <right style="double">
        <color indexed="10"/>
      </right>
      <top>
        <color indexed="63"/>
      </top>
      <bottom>
        <color indexed="63"/>
      </bottom>
    </border>
    <border>
      <left>
        <color indexed="63"/>
      </left>
      <right>
        <color indexed="63"/>
      </right>
      <top style="thin"/>
      <bottom style="double">
        <color indexed="10"/>
      </bottom>
    </border>
    <border>
      <left>
        <color indexed="63"/>
      </left>
      <right style="double">
        <color indexed="18"/>
      </right>
      <top>
        <color indexed="63"/>
      </top>
      <bottom>
        <color indexed="63"/>
      </bottom>
    </border>
    <border>
      <left style="thin"/>
      <right style="double">
        <color indexed="18"/>
      </right>
      <top style="thin"/>
      <bottom style="thin"/>
    </border>
    <border>
      <left>
        <color indexed="63"/>
      </left>
      <right style="double">
        <color indexed="18"/>
      </right>
      <top>
        <color indexed="63"/>
      </top>
      <bottom style="thin"/>
    </border>
    <border>
      <left style="double">
        <color indexed="18"/>
      </left>
      <right>
        <color indexed="63"/>
      </right>
      <top>
        <color indexed="63"/>
      </top>
      <bottom>
        <color indexed="63"/>
      </bottom>
    </border>
    <border>
      <left style="double">
        <color indexed="18"/>
      </left>
      <right>
        <color indexed="63"/>
      </right>
      <top>
        <color indexed="63"/>
      </top>
      <bottom style="thin"/>
    </border>
    <border>
      <left style="thin"/>
      <right style="thin"/>
      <top>
        <color indexed="63"/>
      </top>
      <bottom style="thin"/>
    </border>
    <border>
      <left style="thin"/>
      <right style="double">
        <color indexed="18"/>
      </right>
      <top style="thin"/>
      <bottom>
        <color indexed="63"/>
      </bottom>
    </border>
    <border>
      <left style="thin"/>
      <right style="double">
        <color indexed="18"/>
      </right>
      <top>
        <color indexed="63"/>
      </top>
      <bottom>
        <color indexed="63"/>
      </bottom>
    </border>
    <border>
      <left style="thin"/>
      <right style="double">
        <color indexed="18"/>
      </right>
      <top>
        <color indexed="63"/>
      </top>
      <bottom style="thin"/>
    </border>
    <border>
      <left style="thin"/>
      <right style="thin"/>
      <top style="thin"/>
      <bottom>
        <color indexed="63"/>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color indexed="18"/>
      </left>
      <right style="double">
        <color indexed="18"/>
      </right>
      <top style="double">
        <color indexed="18"/>
      </top>
      <bottom>
        <color indexed="63"/>
      </bottom>
    </border>
    <border>
      <left style="double">
        <color indexed="18"/>
      </left>
      <right>
        <color indexed="63"/>
      </right>
      <top style="double">
        <color indexed="18"/>
      </top>
      <bottom style="double">
        <color indexed="1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179" fontId="0" fillId="0" borderId="0" xfId="0" applyNumberFormat="1" applyAlignment="1">
      <alignment/>
    </xf>
    <xf numFmtId="0" fontId="0" fillId="0" borderId="0" xfId="0" applyAlignment="1">
      <alignment horizontal="right"/>
    </xf>
    <xf numFmtId="0" fontId="0" fillId="0" borderId="0" xfId="0" applyAlignment="1">
      <alignment horizontal="center"/>
    </xf>
    <xf numFmtId="180"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left"/>
    </xf>
    <xf numFmtId="181" fontId="0" fillId="0" borderId="0" xfId="0" applyNumberFormat="1" applyAlignment="1">
      <alignment/>
    </xf>
    <xf numFmtId="0" fontId="0" fillId="0" borderId="1" xfId="0" applyBorder="1" applyAlignment="1">
      <alignment/>
    </xf>
    <xf numFmtId="180" fontId="0" fillId="0" borderId="1" xfId="0" applyNumberFormat="1" applyBorder="1" applyAlignment="1">
      <alignment/>
    </xf>
    <xf numFmtId="2" fontId="0" fillId="0" borderId="1" xfId="0" applyNumberFormat="1" applyBorder="1" applyAlignment="1">
      <alignment/>
    </xf>
    <xf numFmtId="0" fontId="0" fillId="0" borderId="2" xfId="0" applyBorder="1" applyAlignment="1">
      <alignment vertical="center"/>
    </xf>
    <xf numFmtId="1" fontId="0" fillId="0" borderId="2" xfId="0" applyNumberFormat="1" applyBorder="1" applyAlignment="1">
      <alignment vertical="center"/>
    </xf>
    <xf numFmtId="180" fontId="0" fillId="0" borderId="2" xfId="0" applyNumberFormat="1" applyBorder="1" applyAlignment="1">
      <alignment vertical="center"/>
    </xf>
    <xf numFmtId="0" fontId="5" fillId="0" borderId="0" xfId="0" applyFont="1" applyAlignment="1">
      <alignment/>
    </xf>
    <xf numFmtId="0" fontId="0" fillId="0" borderId="0" xfId="0"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 fillId="0" borderId="0" xfId="0" applyFont="1" applyAlignment="1">
      <alignment horizontal="right"/>
    </xf>
    <xf numFmtId="179" fontId="0" fillId="0" borderId="0" xfId="0" applyNumberFormat="1" applyBorder="1" applyAlignment="1">
      <alignment/>
    </xf>
    <xf numFmtId="0" fontId="8" fillId="0" borderId="0" xfId="0" applyFont="1" applyAlignment="1">
      <alignment/>
    </xf>
    <xf numFmtId="2" fontId="0" fillId="2" borderId="3" xfId="0" applyNumberFormat="1" applyFill="1" applyBorder="1" applyAlignment="1">
      <alignment/>
    </xf>
    <xf numFmtId="2" fontId="0" fillId="2" borderId="0" xfId="0" applyNumberFormat="1" applyFill="1" applyBorder="1" applyAlignment="1">
      <alignment/>
    </xf>
    <xf numFmtId="2" fontId="0" fillId="2" borderId="4" xfId="0" applyNumberFormat="1" applyFill="1" applyBorder="1" applyAlignment="1">
      <alignment/>
    </xf>
    <xf numFmtId="0" fontId="9" fillId="0" borderId="0" xfId="0" applyFont="1" applyAlignment="1">
      <alignment/>
    </xf>
    <xf numFmtId="179" fontId="1" fillId="3" borderId="5" xfId="0" applyNumberFormat="1" applyFont="1" applyFill="1" applyBorder="1" applyAlignment="1">
      <alignment/>
    </xf>
    <xf numFmtId="179" fontId="0" fillId="0" borderId="1" xfId="0" applyNumberFormat="1" applyBorder="1" applyAlignment="1">
      <alignment/>
    </xf>
    <xf numFmtId="0" fontId="0" fillId="4" borderId="0" xfId="0" applyFill="1" applyAlignment="1">
      <alignment/>
    </xf>
    <xf numFmtId="0" fontId="0" fillId="4" borderId="0" xfId="0" applyFill="1" applyBorder="1" applyAlignment="1">
      <alignment/>
    </xf>
    <xf numFmtId="0" fontId="0" fillId="4" borderId="4" xfId="0" applyFill="1" applyBorder="1" applyAlignment="1">
      <alignment/>
    </xf>
    <xf numFmtId="180" fontId="0" fillId="4" borderId="0" xfId="0" applyNumberFormat="1" applyFill="1" applyBorder="1" applyAlignment="1">
      <alignment/>
    </xf>
    <xf numFmtId="180" fontId="0" fillId="4" borderId="0" xfId="0" applyNumberFormat="1" applyFill="1" applyBorder="1" applyAlignment="1">
      <alignment horizontal="right"/>
    </xf>
    <xf numFmtId="2" fontId="0" fillId="4" borderId="0" xfId="0" applyNumberFormat="1" applyFill="1" applyBorder="1" applyAlignment="1">
      <alignment/>
    </xf>
    <xf numFmtId="0" fontId="0" fillId="4" borderId="0"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xf>
    <xf numFmtId="0" fontId="0" fillId="4" borderId="6" xfId="0" applyFill="1" applyBorder="1" applyAlignment="1">
      <alignment/>
    </xf>
    <xf numFmtId="2" fontId="0" fillId="4" borderId="6" xfId="0" applyNumberFormat="1" applyFill="1" applyBorder="1" applyAlignment="1">
      <alignment/>
    </xf>
    <xf numFmtId="0" fontId="0" fillId="4" borderId="7" xfId="0" applyFill="1" applyBorder="1" applyAlignment="1">
      <alignment/>
    </xf>
    <xf numFmtId="0" fontId="1" fillId="2" borderId="5" xfId="0" applyFont="1" applyFill="1" applyBorder="1" applyAlignment="1">
      <alignment horizontal="center"/>
    </xf>
    <xf numFmtId="1" fontId="0" fillId="2" borderId="5" xfId="0" applyNumberFormat="1" applyFill="1" applyBorder="1" applyAlignment="1">
      <alignment/>
    </xf>
    <xf numFmtId="0" fontId="0" fillId="2" borderId="5" xfId="0" applyFill="1" applyBorder="1" applyAlignment="1">
      <alignment/>
    </xf>
    <xf numFmtId="0" fontId="0" fillId="4" borderId="8" xfId="0" applyFill="1" applyBorder="1" applyAlignment="1">
      <alignment/>
    </xf>
    <xf numFmtId="0" fontId="0" fillId="4" borderId="1" xfId="0" applyFill="1" applyBorder="1" applyAlignment="1">
      <alignment/>
    </xf>
    <xf numFmtId="179" fontId="0" fillId="2" borderId="9" xfId="0" applyNumberFormat="1" applyFill="1" applyBorder="1" applyAlignment="1">
      <alignment/>
    </xf>
    <xf numFmtId="179" fontId="0" fillId="2" borderId="10" xfId="0" applyNumberFormat="1" applyFill="1" applyBorder="1" applyAlignment="1">
      <alignment/>
    </xf>
    <xf numFmtId="2" fontId="0" fillId="2" borderId="11" xfId="0" applyNumberFormat="1" applyFill="1" applyBorder="1" applyAlignment="1">
      <alignment/>
    </xf>
    <xf numFmtId="2" fontId="0" fillId="4" borderId="4" xfId="0" applyNumberFormat="1" applyFill="1" applyBorder="1" applyAlignment="1">
      <alignment/>
    </xf>
    <xf numFmtId="2" fontId="0" fillId="2" borderId="12" xfId="0" applyNumberFormat="1" applyFill="1" applyBorder="1" applyAlignment="1">
      <alignment/>
    </xf>
    <xf numFmtId="182" fontId="0" fillId="2" borderId="8" xfId="0" applyNumberFormat="1" applyFill="1" applyBorder="1" applyAlignment="1">
      <alignment/>
    </xf>
    <xf numFmtId="182" fontId="0" fillId="2" borderId="12" xfId="0" applyNumberFormat="1" applyFill="1" applyBorder="1" applyAlignment="1">
      <alignment/>
    </xf>
    <xf numFmtId="179" fontId="1" fillId="2" borderId="5" xfId="0" applyNumberFormat="1" applyFont="1" applyFill="1" applyBorder="1" applyAlignment="1">
      <alignment/>
    </xf>
    <xf numFmtId="2" fontId="0" fillId="2" borderId="13" xfId="0" applyNumberFormat="1" applyFill="1" applyBorder="1" applyAlignment="1">
      <alignment/>
    </xf>
    <xf numFmtId="2" fontId="0" fillId="2" borderId="14" xfId="0" applyNumberFormat="1" applyFill="1" applyBorder="1" applyAlignment="1">
      <alignment/>
    </xf>
    <xf numFmtId="2" fontId="0" fillId="2" borderId="15" xfId="0" applyNumberFormat="1" applyFill="1" applyBorder="1" applyAlignment="1">
      <alignment/>
    </xf>
    <xf numFmtId="182" fontId="0" fillId="2" borderId="14" xfId="0" applyNumberFormat="1" applyFill="1" applyBorder="1" applyAlignment="1">
      <alignment/>
    </xf>
    <xf numFmtId="183" fontId="0" fillId="2" borderId="5" xfId="0" applyNumberFormat="1" applyFill="1" applyBorder="1" applyAlignment="1">
      <alignment/>
    </xf>
    <xf numFmtId="179" fontId="0" fillId="2" borderId="5" xfId="0" applyNumberFormat="1" applyFill="1" applyBorder="1" applyAlignment="1">
      <alignment/>
    </xf>
    <xf numFmtId="0" fontId="0" fillId="5" borderId="9"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18" xfId="0" applyFill="1" applyBorder="1" applyAlignment="1">
      <alignment/>
    </xf>
    <xf numFmtId="0" fontId="0" fillId="5" borderId="1" xfId="0" applyFill="1" applyBorder="1" applyAlignment="1">
      <alignment/>
    </xf>
    <xf numFmtId="0" fontId="0" fillId="5" borderId="8" xfId="0" applyFill="1" applyBorder="1" applyAlignment="1">
      <alignment/>
    </xf>
    <xf numFmtId="2" fontId="0" fillId="2" borderId="5" xfId="0" applyNumberFormat="1" applyFill="1" applyBorder="1" applyAlignment="1">
      <alignment/>
    </xf>
    <xf numFmtId="179" fontId="0" fillId="4" borderId="4" xfId="0" applyNumberFormat="1" applyFill="1" applyBorder="1" applyAlignment="1">
      <alignment/>
    </xf>
    <xf numFmtId="0" fontId="0" fillId="0" borderId="0" xfId="0" applyFill="1" applyAlignment="1">
      <alignment/>
    </xf>
    <xf numFmtId="179" fontId="0" fillId="0" borderId="0" xfId="0" applyNumberFormat="1" applyFill="1" applyAlignment="1">
      <alignment/>
    </xf>
    <xf numFmtId="0" fontId="0" fillId="4" borderId="19" xfId="0" applyFill="1" applyBorder="1" applyAlignment="1">
      <alignment/>
    </xf>
    <xf numFmtId="0" fontId="0" fillId="4" borderId="20" xfId="0" applyFill="1" applyBorder="1" applyAlignment="1">
      <alignment/>
    </xf>
    <xf numFmtId="179" fontId="0" fillId="4" borderId="0" xfId="0" applyNumberFormat="1" applyFill="1" applyBorder="1" applyAlignment="1">
      <alignment/>
    </xf>
    <xf numFmtId="0" fontId="1" fillId="4" borderId="0" xfId="0" applyFont="1" applyFill="1" applyBorder="1" applyAlignment="1">
      <alignment/>
    </xf>
    <xf numFmtId="0" fontId="4" fillId="4" borderId="0" xfId="0" applyFont="1" applyFill="1" applyBorder="1" applyAlignment="1">
      <alignment horizontal="center"/>
    </xf>
    <xf numFmtId="0" fontId="0" fillId="4" borderId="21" xfId="0" applyFill="1" applyBorder="1" applyAlignment="1">
      <alignment/>
    </xf>
    <xf numFmtId="2" fontId="0" fillId="2" borderId="22" xfId="0" applyNumberFormat="1" applyFill="1" applyBorder="1" applyAlignment="1">
      <alignment/>
    </xf>
    <xf numFmtId="0" fontId="0" fillId="4" borderId="23" xfId="0" applyFill="1" applyBorder="1" applyAlignment="1">
      <alignment/>
    </xf>
    <xf numFmtId="0" fontId="1" fillId="4" borderId="0" xfId="0" applyFont="1" applyFill="1" applyBorder="1" applyAlignment="1">
      <alignment horizontal="center"/>
    </xf>
    <xf numFmtId="0" fontId="0" fillId="4" borderId="0" xfId="0" applyFill="1" applyBorder="1" applyAlignment="1">
      <alignment horizontal="right"/>
    </xf>
    <xf numFmtId="1" fontId="0" fillId="4" borderId="0" xfId="0" applyNumberFormat="1" applyFill="1" applyBorder="1" applyAlignment="1">
      <alignment/>
    </xf>
    <xf numFmtId="0" fontId="8" fillId="4" borderId="0" xfId="0" applyFont="1" applyFill="1" applyBorder="1" applyAlignment="1">
      <alignment/>
    </xf>
    <xf numFmtId="180" fontId="8" fillId="4" borderId="0" xfId="0" applyNumberFormat="1" applyFont="1" applyFill="1" applyBorder="1" applyAlignment="1">
      <alignment horizontal="right"/>
    </xf>
    <xf numFmtId="182" fontId="0" fillId="2" borderId="0" xfId="0" applyNumberFormat="1" applyFill="1" applyBorder="1" applyAlignment="1">
      <alignment/>
    </xf>
    <xf numFmtId="1" fontId="0" fillId="2" borderId="0" xfId="0" applyNumberFormat="1" applyFill="1" applyBorder="1" applyAlignment="1">
      <alignment/>
    </xf>
    <xf numFmtId="183" fontId="0" fillId="2" borderId="0" xfId="0" applyNumberFormat="1" applyFill="1" applyBorder="1" applyAlignment="1">
      <alignment/>
    </xf>
    <xf numFmtId="0" fontId="1" fillId="3" borderId="5" xfId="0" applyFont="1" applyFill="1" applyBorder="1" applyAlignment="1">
      <alignment horizontal="right"/>
    </xf>
    <xf numFmtId="0" fontId="1" fillId="4" borderId="0" xfId="0" applyFont="1" applyFill="1" applyBorder="1" applyAlignment="1">
      <alignment horizontal="left"/>
    </xf>
    <xf numFmtId="183" fontId="0" fillId="2" borderId="12" xfId="0" applyNumberFormat="1" applyFill="1" applyBorder="1" applyAlignment="1">
      <alignment/>
    </xf>
    <xf numFmtId="0" fontId="1" fillId="2" borderId="18" xfId="0" applyFont="1" applyFill="1" applyBorder="1" applyAlignment="1">
      <alignment horizontal="right"/>
    </xf>
    <xf numFmtId="0" fontId="0" fillId="6" borderId="0" xfId="0" applyFill="1" applyBorder="1" applyAlignment="1">
      <alignment/>
    </xf>
    <xf numFmtId="0" fontId="0" fillId="6" borderId="19" xfId="0" applyFill="1" applyBorder="1" applyAlignment="1">
      <alignment/>
    </xf>
    <xf numFmtId="0" fontId="0" fillId="6" borderId="0" xfId="0" applyFill="1" applyBorder="1" applyAlignment="1">
      <alignment horizontal="center"/>
    </xf>
    <xf numFmtId="179" fontId="0" fillId="6" borderId="1" xfId="0" applyNumberFormat="1" applyFill="1" applyBorder="1" applyAlignment="1">
      <alignment/>
    </xf>
    <xf numFmtId="0" fontId="0" fillId="6" borderId="12" xfId="0" applyFill="1" applyBorder="1" applyAlignment="1">
      <alignment/>
    </xf>
    <xf numFmtId="0" fontId="0" fillId="6" borderId="20" xfId="0" applyFill="1" applyBorder="1" applyAlignment="1">
      <alignment/>
    </xf>
    <xf numFmtId="0" fontId="0" fillId="6" borderId="4" xfId="0" applyFill="1" applyBorder="1" applyAlignment="1">
      <alignment/>
    </xf>
    <xf numFmtId="0" fontId="0" fillId="6" borderId="3" xfId="0" applyFill="1" applyBorder="1" applyAlignment="1">
      <alignment horizontal="center"/>
    </xf>
    <xf numFmtId="0" fontId="0" fillId="6" borderId="4" xfId="0" applyFill="1" applyBorder="1" applyAlignment="1">
      <alignment horizontal="center"/>
    </xf>
    <xf numFmtId="0" fontId="2" fillId="6" borderId="0" xfId="0" applyFont="1" applyFill="1" applyBorder="1" applyAlignment="1">
      <alignment horizontal="center"/>
    </xf>
    <xf numFmtId="0" fontId="0" fillId="6" borderId="3" xfId="0" applyFill="1" applyBorder="1" applyAlignment="1">
      <alignment/>
    </xf>
    <xf numFmtId="0" fontId="0" fillId="6" borderId="24" xfId="0" applyFill="1" applyBorder="1" applyAlignment="1">
      <alignment/>
    </xf>
    <xf numFmtId="0" fontId="0" fillId="6" borderId="1" xfId="0" applyFill="1" applyBorder="1" applyAlignment="1">
      <alignment/>
    </xf>
    <xf numFmtId="0" fontId="0" fillId="6" borderId="25" xfId="0" applyFill="1" applyBorder="1" applyAlignment="1">
      <alignment/>
    </xf>
    <xf numFmtId="0" fontId="0" fillId="6" borderId="26" xfId="0" applyFill="1" applyBorder="1" applyAlignment="1">
      <alignment/>
    </xf>
    <xf numFmtId="0" fontId="0" fillId="6" borderId="7" xfId="0" applyFill="1" applyBorder="1" applyAlignment="1">
      <alignment/>
    </xf>
    <xf numFmtId="2" fontId="0" fillId="6" borderId="9" xfId="0" applyNumberFormat="1" applyFill="1" applyBorder="1" applyAlignment="1">
      <alignment/>
    </xf>
    <xf numFmtId="0" fontId="1" fillId="6" borderId="10" xfId="0" applyFont="1" applyFill="1" applyBorder="1" applyAlignment="1">
      <alignment horizontal="right"/>
    </xf>
    <xf numFmtId="0" fontId="1" fillId="6" borderId="0" xfId="0" applyFont="1" applyFill="1" applyBorder="1" applyAlignment="1">
      <alignment/>
    </xf>
    <xf numFmtId="0" fontId="0" fillId="6" borderId="6" xfId="0" applyFill="1" applyBorder="1" applyAlignment="1">
      <alignment/>
    </xf>
    <xf numFmtId="0" fontId="0" fillId="6" borderId="0" xfId="0" applyFill="1" applyBorder="1" applyAlignment="1">
      <alignment horizontal="right"/>
    </xf>
    <xf numFmtId="183" fontId="0" fillId="6" borderId="0" xfId="0" applyNumberFormat="1" applyFill="1" applyBorder="1" applyAlignment="1">
      <alignment/>
    </xf>
    <xf numFmtId="0" fontId="1" fillId="4" borderId="4" xfId="0" applyFont="1" applyFill="1" applyBorder="1" applyAlignment="1">
      <alignment horizontal="center"/>
    </xf>
    <xf numFmtId="0" fontId="13" fillId="0" borderId="0" xfId="0" applyFont="1" applyAlignment="1">
      <alignment/>
    </xf>
    <xf numFmtId="0" fontId="14" fillId="0" borderId="0" xfId="0" applyFont="1" applyFill="1" applyBorder="1" applyAlignment="1">
      <alignment vertical="center"/>
    </xf>
    <xf numFmtId="0" fontId="0" fillId="6" borderId="23" xfId="0" applyFill="1" applyBorder="1" applyAlignment="1">
      <alignment/>
    </xf>
    <xf numFmtId="0" fontId="0" fillId="6" borderId="21" xfId="0" applyFill="1" applyBorder="1" applyAlignment="1">
      <alignment/>
    </xf>
    <xf numFmtId="0" fontId="14" fillId="4" borderId="19" xfId="0" applyFont="1" applyFill="1" applyBorder="1" applyAlignment="1">
      <alignment vertical="center"/>
    </xf>
    <xf numFmtId="0" fontId="0" fillId="4" borderId="27" xfId="0" applyFill="1" applyBorder="1" applyAlignment="1">
      <alignment/>
    </xf>
    <xf numFmtId="0" fontId="0" fillId="4" borderId="28" xfId="0" applyFill="1" applyBorder="1" applyAlignment="1">
      <alignment horizontal="center"/>
    </xf>
    <xf numFmtId="0" fontId="0" fillId="4" borderId="28" xfId="0" applyFill="1" applyBorder="1" applyAlignment="1">
      <alignment/>
    </xf>
    <xf numFmtId="179" fontId="0" fillId="2" borderId="29" xfId="0" applyNumberFormat="1" applyFill="1" applyBorder="1" applyAlignment="1">
      <alignment/>
    </xf>
    <xf numFmtId="0" fontId="1" fillId="4" borderId="28" xfId="0" applyFont="1" applyFill="1" applyBorder="1" applyAlignment="1">
      <alignment/>
    </xf>
    <xf numFmtId="1" fontId="0" fillId="2" borderId="18" xfId="0" applyNumberFormat="1" applyFill="1" applyBorder="1" applyAlignment="1">
      <alignment/>
    </xf>
    <xf numFmtId="2" fontId="0" fillId="2" borderId="1" xfId="0" applyNumberFormat="1" applyFill="1" applyBorder="1" applyAlignment="1">
      <alignment/>
    </xf>
    <xf numFmtId="2" fontId="1" fillId="2" borderId="1" xfId="0" applyNumberFormat="1" applyFont="1" applyFill="1" applyBorder="1" applyAlignment="1">
      <alignment/>
    </xf>
    <xf numFmtId="0" fontId="0" fillId="4" borderId="30" xfId="0" applyFill="1" applyBorder="1" applyAlignment="1">
      <alignment/>
    </xf>
    <xf numFmtId="0" fontId="0" fillId="4" borderId="18" xfId="0" applyFill="1" applyBorder="1" applyAlignment="1">
      <alignment/>
    </xf>
    <xf numFmtId="0" fontId="0" fillId="4" borderId="31" xfId="0" applyFill="1" applyBorder="1" applyAlignment="1">
      <alignment horizontal="center"/>
    </xf>
    <xf numFmtId="0" fontId="0" fillId="4" borderId="31" xfId="0" applyFill="1" applyBorder="1" applyAlignment="1">
      <alignment/>
    </xf>
    <xf numFmtId="0" fontId="0" fillId="4" borderId="32" xfId="0" applyFill="1" applyBorder="1" applyAlignment="1">
      <alignment/>
    </xf>
    <xf numFmtId="2" fontId="0" fillId="2" borderId="31" xfId="0" applyNumberFormat="1" applyFill="1" applyBorder="1" applyAlignment="1">
      <alignment/>
    </xf>
    <xf numFmtId="2" fontId="0" fillId="2" borderId="32" xfId="0" applyNumberFormat="1" applyFill="1" applyBorder="1" applyAlignment="1">
      <alignment/>
    </xf>
    <xf numFmtId="2" fontId="1" fillId="2" borderId="32" xfId="0" applyNumberFormat="1" applyFont="1" applyFill="1" applyBorder="1" applyAlignment="1">
      <alignment/>
    </xf>
    <xf numFmtId="2" fontId="0" fillId="2" borderId="9" xfId="0" applyNumberFormat="1" applyFill="1" applyBorder="1" applyAlignment="1">
      <alignment/>
    </xf>
    <xf numFmtId="2" fontId="0" fillId="2" borderId="10" xfId="0" applyNumberFormat="1" applyFill="1" applyBorder="1" applyAlignment="1">
      <alignment/>
    </xf>
    <xf numFmtId="2" fontId="0" fillId="2" borderId="18" xfId="0" applyNumberFormat="1" applyFill="1" applyBorder="1" applyAlignment="1">
      <alignment/>
    </xf>
    <xf numFmtId="2" fontId="1" fillId="2" borderId="33" xfId="0" applyNumberFormat="1" applyFont="1" applyFill="1" applyBorder="1" applyAlignment="1">
      <alignment/>
    </xf>
    <xf numFmtId="2" fontId="0" fillId="2" borderId="34" xfId="0" applyNumberFormat="1" applyFill="1" applyBorder="1" applyAlignment="1">
      <alignment/>
    </xf>
    <xf numFmtId="2" fontId="0" fillId="2" borderId="35" xfId="0" applyNumberFormat="1" applyFill="1" applyBorder="1" applyAlignment="1">
      <alignment/>
    </xf>
    <xf numFmtId="2" fontId="0" fillId="2" borderId="36" xfId="0" applyNumberFormat="1" applyFill="1" applyBorder="1" applyAlignment="1">
      <alignment/>
    </xf>
    <xf numFmtId="2" fontId="0" fillId="2" borderId="29" xfId="0" applyNumberFormat="1" applyFill="1" applyBorder="1" applyAlignment="1">
      <alignment/>
    </xf>
    <xf numFmtId="0" fontId="31" fillId="3" borderId="0" xfId="0" applyFont="1" applyFill="1" applyAlignment="1">
      <alignment/>
    </xf>
    <xf numFmtId="0" fontId="31" fillId="2" borderId="0" xfId="0" applyFont="1" applyFill="1" applyAlignment="1">
      <alignment/>
    </xf>
    <xf numFmtId="0" fontId="31" fillId="0" borderId="0" xfId="0" applyFont="1" applyAlignment="1">
      <alignment/>
    </xf>
    <xf numFmtId="0" fontId="32" fillId="0" borderId="0" xfId="0" applyFont="1" applyAlignment="1">
      <alignment/>
    </xf>
    <xf numFmtId="2" fontId="31" fillId="2" borderId="0" xfId="0" applyNumberFormat="1" applyFont="1" applyFill="1" applyAlignment="1">
      <alignment/>
    </xf>
    <xf numFmtId="2" fontId="31" fillId="0" borderId="0" xfId="0" applyNumberFormat="1" applyFont="1" applyAlignment="1">
      <alignment/>
    </xf>
    <xf numFmtId="179" fontId="31" fillId="0" borderId="0" xfId="0" applyNumberFormat="1" applyFont="1" applyAlignment="1">
      <alignment/>
    </xf>
    <xf numFmtId="0" fontId="31" fillId="0" borderId="0" xfId="0" applyFont="1" applyAlignment="1">
      <alignment horizontal="center"/>
    </xf>
    <xf numFmtId="0" fontId="31" fillId="0" borderId="0" xfId="0" applyFont="1" applyAlignment="1">
      <alignment horizontal="right"/>
    </xf>
    <xf numFmtId="179" fontId="31" fillId="0" borderId="5" xfId="0" applyNumberFormat="1" applyFont="1" applyBorder="1" applyAlignment="1">
      <alignment/>
    </xf>
    <xf numFmtId="179" fontId="31" fillId="0" borderId="0" xfId="0" applyNumberFormat="1" applyFont="1" applyBorder="1" applyAlignment="1">
      <alignment/>
    </xf>
    <xf numFmtId="0" fontId="31" fillId="0" borderId="0" xfId="0" applyFont="1" applyAlignment="1">
      <alignment/>
    </xf>
    <xf numFmtId="0" fontId="1" fillId="4" borderId="19" xfId="0" applyFont="1" applyFill="1" applyBorder="1" applyAlignment="1">
      <alignment/>
    </xf>
    <xf numFmtId="0" fontId="1" fillId="4" borderId="19" xfId="0" applyFont="1" applyFill="1" applyBorder="1" applyAlignment="1">
      <alignment horizontal="right"/>
    </xf>
    <xf numFmtId="0" fontId="35" fillId="4" borderId="19" xfId="0" applyFont="1" applyFill="1" applyBorder="1" applyAlignment="1">
      <alignment horizontal="right" vertical="center"/>
    </xf>
    <xf numFmtId="0" fontId="0" fillId="4" borderId="0" xfId="0" applyFont="1" applyFill="1" applyBorder="1" applyAlignment="1">
      <alignment horizontal="left"/>
    </xf>
    <xf numFmtId="0" fontId="0" fillId="4" borderId="0" xfId="0" applyFont="1" applyFill="1" applyBorder="1" applyAlignment="1">
      <alignment horizontal="right"/>
    </xf>
    <xf numFmtId="0" fontId="1" fillId="4" borderId="0" xfId="0" applyFont="1" applyFill="1" applyBorder="1" applyAlignment="1">
      <alignment horizontal="right"/>
    </xf>
    <xf numFmtId="0" fontId="0" fillId="2" borderId="5" xfId="0" applyFill="1" applyBorder="1" applyAlignment="1">
      <alignment horizontal="center"/>
    </xf>
    <xf numFmtId="1" fontId="39" fillId="2" borderId="5" xfId="0" applyNumberFormat="1" applyFont="1" applyFill="1" applyBorder="1" applyAlignment="1">
      <alignment/>
    </xf>
    <xf numFmtId="0" fontId="39" fillId="4" borderId="0" xfId="0" applyFont="1" applyFill="1" applyBorder="1" applyAlignment="1">
      <alignment/>
    </xf>
    <xf numFmtId="0" fontId="39" fillId="4" borderId="10" xfId="0" applyFont="1" applyFill="1" applyBorder="1" applyAlignment="1">
      <alignment/>
    </xf>
    <xf numFmtId="0" fontId="1" fillId="4" borderId="10" xfId="0" applyFont="1" applyFill="1" applyBorder="1" applyAlignment="1">
      <alignment horizontal="left"/>
    </xf>
    <xf numFmtId="180" fontId="0" fillId="4" borderId="0" xfId="0" applyNumberFormat="1" applyFill="1" applyBorder="1" applyAlignment="1">
      <alignment horizontal="left"/>
    </xf>
    <xf numFmtId="1" fontId="1" fillId="4" borderId="0" xfId="0" applyNumberFormat="1" applyFont="1" applyFill="1" applyBorder="1" applyAlignment="1">
      <alignment horizontal="left"/>
    </xf>
    <xf numFmtId="0" fontId="40" fillId="4" borderId="0" xfId="0" applyFont="1" applyFill="1" applyBorder="1" applyAlignment="1">
      <alignment horizontal="center"/>
    </xf>
    <xf numFmtId="0" fontId="39" fillId="4" borderId="0" xfId="0" applyFont="1" applyFill="1" applyBorder="1" applyAlignment="1">
      <alignment horizontal="center"/>
    </xf>
    <xf numFmtId="2" fontId="39" fillId="2" borderId="5" xfId="0" applyNumberFormat="1" applyFont="1" applyFill="1" applyBorder="1" applyAlignment="1">
      <alignment/>
    </xf>
    <xf numFmtId="179" fontId="39" fillId="2" borderId="5" xfId="0" applyNumberFormat="1" applyFont="1" applyFill="1" applyBorder="1" applyAlignment="1">
      <alignment/>
    </xf>
    <xf numFmtId="2" fontId="0" fillId="4" borderId="0" xfId="0" applyNumberFormat="1" applyFill="1" applyBorder="1" applyAlignment="1">
      <alignment horizontal="right"/>
    </xf>
    <xf numFmtId="2" fontId="0" fillId="2" borderId="5" xfId="0" applyNumberFormat="1" applyFill="1" applyBorder="1" applyAlignment="1">
      <alignment horizontal="right"/>
    </xf>
    <xf numFmtId="180" fontId="0" fillId="2" borderId="5" xfId="0" applyNumberFormat="1" applyFill="1" applyBorder="1" applyAlignment="1">
      <alignment horizontal="right"/>
    </xf>
    <xf numFmtId="0" fontId="4" fillId="0" borderId="0" xfId="0" applyFont="1" applyBorder="1" applyAlignment="1">
      <alignment horizontal="center"/>
    </xf>
    <xf numFmtId="0" fontId="0" fillId="0" borderId="1" xfId="0" applyBorder="1" applyAlignment="1">
      <alignment horizontal="center"/>
    </xf>
    <xf numFmtId="180" fontId="0" fillId="5" borderId="5" xfId="0" applyNumberFormat="1" applyFill="1" applyBorder="1" applyAlignment="1">
      <alignment/>
    </xf>
    <xf numFmtId="2" fontId="0" fillId="5" borderId="5" xfId="0" applyNumberFormat="1" applyFill="1" applyBorder="1" applyAlignment="1">
      <alignment horizontal="right"/>
    </xf>
    <xf numFmtId="2" fontId="0" fillId="5" borderId="5" xfId="0" applyNumberFormat="1" applyFill="1" applyBorder="1" applyAlignment="1">
      <alignment/>
    </xf>
    <xf numFmtId="180" fontId="1" fillId="5" borderId="5" xfId="0" applyNumberFormat="1" applyFont="1" applyFill="1" applyBorder="1" applyAlignment="1">
      <alignment/>
    </xf>
    <xf numFmtId="1" fontId="0" fillId="5" borderId="5" xfId="0" applyNumberFormat="1" applyFill="1" applyBorder="1" applyAlignment="1">
      <alignment/>
    </xf>
    <xf numFmtId="1" fontId="0" fillId="5" borderId="5" xfId="0" applyNumberFormat="1" applyFont="1" applyFill="1" applyBorder="1" applyAlignment="1">
      <alignment/>
    </xf>
    <xf numFmtId="2" fontId="0" fillId="5" borderId="5" xfId="0" applyNumberFormat="1" applyFont="1" applyFill="1" applyBorder="1" applyAlignment="1">
      <alignment/>
    </xf>
    <xf numFmtId="179" fontId="0" fillId="5" borderId="5" xfId="0" applyNumberFormat="1" applyFill="1" applyBorder="1" applyAlignment="1">
      <alignment/>
    </xf>
    <xf numFmtId="180" fontId="1" fillId="5" borderId="5" xfId="0" applyNumberFormat="1" applyFont="1" applyFill="1" applyBorder="1" applyAlignment="1">
      <alignment horizontal="right"/>
    </xf>
    <xf numFmtId="0" fontId="1" fillId="0" borderId="0" xfId="0" applyFont="1" applyAlignment="1">
      <alignment horizontal="center"/>
    </xf>
    <xf numFmtId="0" fontId="12" fillId="0" borderId="0" xfId="0" applyFont="1" applyAlignment="1">
      <alignment/>
    </xf>
    <xf numFmtId="0" fontId="14" fillId="4" borderId="0" xfId="0" applyFont="1" applyFill="1" applyBorder="1" applyAlignment="1">
      <alignment vertical="center"/>
    </xf>
    <xf numFmtId="0" fontId="2" fillId="4" borderId="0" xfId="0" applyFont="1" applyFill="1" applyBorder="1" applyAlignment="1">
      <alignment horizontal="right"/>
    </xf>
    <xf numFmtId="0" fontId="1" fillId="0" borderId="0" xfId="0" applyFont="1" applyBorder="1" applyAlignment="1">
      <alignment horizontal="center"/>
    </xf>
    <xf numFmtId="180" fontId="0" fillId="5" borderId="5" xfId="0" applyNumberFormat="1" applyFill="1" applyBorder="1" applyAlignment="1" applyProtection="1">
      <alignment/>
      <protection locked="0"/>
    </xf>
    <xf numFmtId="180" fontId="0" fillId="5" borderId="5" xfId="0" applyNumberFormat="1" applyFill="1" applyBorder="1" applyAlignment="1" applyProtection="1">
      <alignment horizontal="right"/>
      <protection locked="0"/>
    </xf>
    <xf numFmtId="2" fontId="39" fillId="5" borderId="5" xfId="0" applyNumberFormat="1" applyFont="1" applyFill="1" applyBorder="1" applyAlignment="1" applyProtection="1">
      <alignment horizontal="right"/>
      <protection locked="0"/>
    </xf>
    <xf numFmtId="2" fontId="0" fillId="5" borderId="5" xfId="0" applyNumberFormat="1" applyFill="1" applyBorder="1" applyAlignment="1" applyProtection="1">
      <alignment horizontal="right"/>
      <protection locked="0"/>
    </xf>
    <xf numFmtId="1" fontId="1" fillId="5" borderId="5" xfId="0" applyNumberFormat="1" applyFont="1" applyFill="1" applyBorder="1" applyAlignment="1" applyProtection="1">
      <alignment/>
      <protection locked="0"/>
    </xf>
    <xf numFmtId="0" fontId="0" fillId="5" borderId="5" xfId="0" applyFill="1" applyBorder="1" applyAlignment="1" applyProtection="1">
      <alignment/>
      <protection locked="0"/>
    </xf>
    <xf numFmtId="2" fontId="0" fillId="5" borderId="5" xfId="0" applyNumberFormat="1" applyFill="1" applyBorder="1" applyAlignment="1" applyProtection="1">
      <alignment/>
      <protection locked="0"/>
    </xf>
    <xf numFmtId="0" fontId="0" fillId="5" borderId="37" xfId="0" applyFill="1" applyBorder="1" applyAlignment="1" applyProtection="1">
      <alignment/>
      <protection locked="0"/>
    </xf>
    <xf numFmtId="2" fontId="0" fillId="5" borderId="29" xfId="0" applyNumberFormat="1" applyFill="1" applyBorder="1" applyAlignment="1" applyProtection="1">
      <alignment/>
      <protection locked="0"/>
    </xf>
    <xf numFmtId="0" fontId="0" fillId="5" borderId="5" xfId="0" applyFill="1" applyBorder="1" applyAlignment="1" applyProtection="1">
      <alignment horizontal="center"/>
      <protection locked="0"/>
    </xf>
    <xf numFmtId="0" fontId="0" fillId="0" borderId="5" xfId="0" applyBorder="1" applyAlignment="1" applyProtection="1">
      <alignment/>
      <protection locked="0"/>
    </xf>
    <xf numFmtId="179" fontId="0" fillId="0" borderId="5" xfId="0" applyNumberFormat="1" applyBorder="1" applyAlignment="1" applyProtection="1">
      <alignment/>
      <protection locked="0"/>
    </xf>
    <xf numFmtId="180" fontId="0" fillId="0" borderId="5" xfId="0" applyNumberFormat="1" applyBorder="1" applyAlignment="1" applyProtection="1">
      <alignment/>
      <protection locked="0"/>
    </xf>
    <xf numFmtId="180" fontId="0" fillId="7" borderId="5" xfId="0" applyNumberFormat="1" applyFill="1" applyBorder="1" applyAlignment="1">
      <alignment horizontal="right"/>
    </xf>
    <xf numFmtId="1" fontId="1" fillId="4" borderId="0" xfId="0" applyNumberFormat="1" applyFont="1" applyFill="1" applyBorder="1" applyAlignment="1">
      <alignment horizontal="center"/>
    </xf>
    <xf numFmtId="0" fontId="0" fillId="2" borderId="5" xfId="0" applyFill="1" applyBorder="1" applyAlignment="1" applyProtection="1">
      <alignment/>
      <protection/>
    </xf>
    <xf numFmtId="0" fontId="0" fillId="2" borderId="13" xfId="0" applyFill="1" applyBorder="1" applyAlignment="1" applyProtection="1">
      <alignment/>
      <protection/>
    </xf>
    <xf numFmtId="0" fontId="6" fillId="3" borderId="38" xfId="0" applyFont="1" applyFill="1" applyBorder="1" applyAlignment="1">
      <alignment horizontal="center"/>
    </xf>
    <xf numFmtId="0" fontId="6" fillId="3" borderId="39" xfId="0" applyFont="1" applyFill="1" applyBorder="1" applyAlignment="1">
      <alignment horizontal="center"/>
    </xf>
    <xf numFmtId="0" fontId="0" fillId="5" borderId="9" xfId="0" applyFill="1" applyBorder="1" applyAlignment="1" applyProtection="1">
      <alignment horizontal="left"/>
      <protection locked="0"/>
    </xf>
    <xf numFmtId="0" fontId="16" fillId="4" borderId="0" xfId="0" applyFont="1" applyFill="1" applyBorder="1" applyAlignment="1">
      <alignment horizontal="center"/>
    </xf>
    <xf numFmtId="0" fontId="37" fillId="8" borderId="40" xfId="0" applyFont="1" applyFill="1" applyBorder="1" applyAlignment="1">
      <alignment horizontal="center"/>
    </xf>
    <xf numFmtId="0" fontId="36" fillId="8" borderId="41" xfId="0" applyFont="1" applyFill="1" applyBorder="1" applyAlignment="1">
      <alignment horizontal="center"/>
    </xf>
    <xf numFmtId="0" fontId="36" fillId="8" borderId="42" xfId="0" applyFont="1" applyFill="1" applyBorder="1" applyAlignment="1">
      <alignment horizontal="center"/>
    </xf>
    <xf numFmtId="0" fontId="0" fillId="6" borderId="3" xfId="0" applyFill="1" applyBorder="1" applyAlignment="1">
      <alignment horizontal="center"/>
    </xf>
    <xf numFmtId="0" fontId="0" fillId="6" borderId="0" xfId="0" applyFill="1" applyBorder="1" applyAlignment="1">
      <alignment horizontal="center"/>
    </xf>
    <xf numFmtId="0" fontId="0" fillId="6" borderId="4" xfId="0" applyFill="1" applyBorder="1" applyAlignment="1">
      <alignment horizontal="center"/>
    </xf>
    <xf numFmtId="0" fontId="41" fillId="5" borderId="43" xfId="0" applyFont="1" applyFill="1" applyBorder="1" applyAlignment="1">
      <alignment horizontal="center"/>
    </xf>
    <xf numFmtId="0" fontId="41" fillId="5" borderId="44" xfId="0" applyFont="1" applyFill="1" applyBorder="1" applyAlignment="1">
      <alignment horizontal="center"/>
    </xf>
    <xf numFmtId="0" fontId="41" fillId="5" borderId="45" xfId="0" applyFont="1" applyFill="1" applyBorder="1" applyAlignment="1">
      <alignment horizontal="center"/>
    </xf>
    <xf numFmtId="0" fontId="1" fillId="4" borderId="46" xfId="0" applyFont="1" applyFill="1" applyBorder="1" applyAlignment="1">
      <alignment horizontal="center"/>
    </xf>
    <xf numFmtId="0" fontId="6" fillId="4" borderId="0" xfId="0" applyFont="1" applyFill="1" applyBorder="1" applyAlignment="1">
      <alignment horizontal="center"/>
    </xf>
    <xf numFmtId="0" fontId="6" fillId="3" borderId="47" xfId="0" applyFont="1" applyFill="1" applyBorder="1" applyAlignment="1">
      <alignment horizontal="center"/>
    </xf>
    <xf numFmtId="0" fontId="0" fillId="5" borderId="16" xfId="0" applyFill="1" applyBorder="1" applyAlignment="1" applyProtection="1">
      <alignment horizontal="left"/>
      <protection locked="0"/>
    </xf>
    <xf numFmtId="0" fontId="0" fillId="5" borderId="17" xfId="0" applyFill="1" applyBorder="1" applyAlignment="1" applyProtection="1">
      <alignment horizontal="left"/>
      <protection locked="0"/>
    </xf>
    <xf numFmtId="0" fontId="0" fillId="5" borderId="18"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8" xfId="0" applyFill="1" applyBorder="1" applyAlignment="1" applyProtection="1">
      <alignment horizontal="left"/>
      <protection locked="0"/>
    </xf>
    <xf numFmtId="180" fontId="40" fillId="4" borderId="1" xfId="0" applyNumberFormat="1" applyFont="1" applyFill="1" applyBorder="1" applyAlignment="1">
      <alignment horizontal="center"/>
    </xf>
    <xf numFmtId="0" fontId="39" fillId="4" borderId="2" xfId="0" applyFont="1" applyFill="1" applyBorder="1" applyAlignment="1">
      <alignment horizontal="center"/>
    </xf>
    <xf numFmtId="0" fontId="0" fillId="4" borderId="0" xfId="0" applyFill="1" applyBorder="1" applyAlignment="1">
      <alignment horizontal="center"/>
    </xf>
    <xf numFmtId="2" fontId="39" fillId="5" borderId="13" xfId="0" applyNumberFormat="1" applyFont="1" applyFill="1" applyBorder="1" applyAlignment="1" applyProtection="1">
      <alignment horizontal="center"/>
      <protection locked="0"/>
    </xf>
    <xf numFmtId="2" fontId="39" fillId="5" borderId="14" xfId="0" applyNumberFormat="1" applyFont="1" applyFill="1" applyBorder="1" applyAlignment="1" applyProtection="1">
      <alignment horizontal="center"/>
      <protection locked="0"/>
    </xf>
    <xf numFmtId="0" fontId="0" fillId="5" borderId="9" xfId="0" applyFill="1" applyBorder="1" applyAlignment="1">
      <alignment horizontal="left"/>
    </xf>
    <xf numFmtId="0" fontId="0" fillId="5" borderId="16" xfId="0" applyFill="1" applyBorder="1" applyAlignment="1">
      <alignment horizontal="left"/>
    </xf>
    <xf numFmtId="0" fontId="0" fillId="5" borderId="17" xfId="0" applyFill="1" applyBorder="1" applyAlignment="1">
      <alignment horizontal="left"/>
    </xf>
    <xf numFmtId="0" fontId="0" fillId="5" borderId="18"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0" fillId="0" borderId="0" xfId="0" applyFont="1" applyAlignment="1">
      <alignment horizontal="center"/>
    </xf>
    <xf numFmtId="0" fontId="7" fillId="0" borderId="0" xfId="0" applyFont="1" applyAlignment="1">
      <alignment horizontal="center"/>
    </xf>
    <xf numFmtId="179" fontId="1" fillId="0" borderId="2" xfId="0" applyNumberFormat="1"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31" fillId="0" borderId="13" xfId="0" applyFont="1" applyBorder="1" applyAlignment="1">
      <alignment horizontal="center"/>
    </xf>
    <xf numFmtId="0" fontId="31" fillId="0" borderId="2" xfId="0" applyFont="1" applyBorder="1" applyAlignment="1">
      <alignment horizontal="center"/>
    </xf>
    <xf numFmtId="0" fontId="31" fillId="0" borderId="14"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05"/>
          <c:y val="0.01225"/>
          <c:w val="0.9415"/>
          <c:h val="0.94625"/>
        </c:manualLayout>
      </c:layout>
      <c:scatterChart>
        <c:scatterStyle val="smoothMarker"/>
        <c:varyColors val="0"/>
        <c:ser>
          <c:idx val="4"/>
          <c:order val="0"/>
          <c:tx>
            <c:v>Mill Discharge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Data_File!$L$25:$L$44</c:f>
              <c:numCache>
                <c:ptCount val="20"/>
                <c:pt idx="0">
                  <c:v>100</c:v>
                </c:pt>
                <c:pt idx="1">
                  <c:v>100</c:v>
                </c:pt>
                <c:pt idx="2">
                  <c:v>98.88023526029318</c:v>
                </c:pt>
                <c:pt idx="3">
                  <c:v>96.32360998333755</c:v>
                </c:pt>
                <c:pt idx="4">
                  <c:v>93.8121908215734</c:v>
                </c:pt>
                <c:pt idx="5">
                  <c:v>91.53186939616307</c:v>
                </c:pt>
                <c:pt idx="6">
                  <c:v>89.15752021548667</c:v>
                </c:pt>
                <c:pt idx="7">
                  <c:v>86.4378939649416</c:v>
                </c:pt>
                <c:pt idx="8">
                  <c:v>83.28243798360063</c:v>
                </c:pt>
                <c:pt idx="9">
                  <c:v>79.15535075816366</c:v>
                </c:pt>
                <c:pt idx="10">
                  <c:v>74.29792319832804</c:v>
                </c:pt>
                <c:pt idx="11">
                  <c:v>68.09858529069908</c:v>
                </c:pt>
                <c:pt idx="12">
                  <c:v>60.52787442525695</c:v>
                </c:pt>
                <c:pt idx="13">
                  <c:v>51.77129924723497</c:v>
                </c:pt>
                <c:pt idx="14">
                  <c:v>42.921295462044185</c:v>
                </c:pt>
                <c:pt idx="15">
                  <c:v>35.18152448311274</c:v>
                </c:pt>
                <c:pt idx="16">
                  <c:v>29.08327677917162</c:v>
                </c:pt>
                <c:pt idx="17">
                  <c:v>24.56972925420056</c:v>
                </c:pt>
                <c:pt idx="18">
                  <c:v>21.24277015541534</c:v>
                </c:pt>
                <c:pt idx="19">
                  <c:v>18.8409143633443</c:v>
                </c:pt>
              </c:numCache>
            </c:numRef>
          </c:yVal>
          <c:smooth val="1"/>
        </c:ser>
        <c:ser>
          <c:idx val="0"/>
          <c:order val="1"/>
          <c:tx>
            <c:v>Cyclone U'flow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Data_File!$R$25:$R$44</c:f>
              <c:numCache>
                <c:ptCount val="20"/>
                <c:pt idx="0">
                  <c:v>100</c:v>
                </c:pt>
                <c:pt idx="1">
                  <c:v>100</c:v>
                </c:pt>
                <c:pt idx="2">
                  <c:v>98.51395328459961</c:v>
                </c:pt>
                <c:pt idx="3">
                  <c:v>95.12104005862658</c:v>
                </c:pt>
                <c:pt idx="4">
                  <c:v>91.78812014786894</c:v>
                </c:pt>
                <c:pt idx="5">
                  <c:v>88.76189147310699</c:v>
                </c:pt>
                <c:pt idx="6">
                  <c:v>85.61087798246825</c:v>
                </c:pt>
                <c:pt idx="7">
                  <c:v>82.001645155761</c:v>
                </c:pt>
                <c:pt idx="8">
                  <c:v>77.81401999631012</c:v>
                </c:pt>
                <c:pt idx="9">
                  <c:v>72.33693701154729</c:v>
                </c:pt>
                <c:pt idx="10">
                  <c:v>65.89067320444717</c:v>
                </c:pt>
                <c:pt idx="11">
                  <c:v>57.671654723467675</c:v>
                </c:pt>
                <c:pt idx="12">
                  <c:v>47.78327761148839</c:v>
                </c:pt>
                <c:pt idx="13">
                  <c:v>37.05410220176108</c:v>
                </c:pt>
                <c:pt idx="14">
                  <c:v>27.53568088301884</c:v>
                </c:pt>
                <c:pt idx="15">
                  <c:v>20.51979557395499</c:v>
                </c:pt>
                <c:pt idx="16">
                  <c:v>15.866664937489144</c:v>
                </c:pt>
                <c:pt idx="17">
                  <c:v>12.886983804886427</c:v>
                </c:pt>
                <c:pt idx="18">
                  <c:v>10.913305160330482</c:v>
                </c:pt>
                <c:pt idx="19">
                  <c:v>9.585874747648997</c:v>
                </c:pt>
              </c:numCache>
            </c:numRef>
          </c:yVal>
          <c:smooth val="1"/>
        </c:ser>
        <c:ser>
          <c:idx val="1"/>
          <c:order val="2"/>
          <c:tx>
            <c:v>Cyclone O'flow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80"/>
                </a:solidFill>
              </a:ln>
            </c:spPr>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Data_File!$U$25:$U$44</c:f>
              <c:numCache>
                <c:ptCount val="20"/>
                <c:pt idx="0">
                  <c:v>100</c:v>
                </c:pt>
                <c:pt idx="1">
                  <c:v>100</c:v>
                </c:pt>
                <c:pt idx="2">
                  <c:v>100</c:v>
                </c:pt>
                <c:pt idx="3">
                  <c:v>100</c:v>
                </c:pt>
                <c:pt idx="4">
                  <c:v>100</c:v>
                </c:pt>
                <c:pt idx="5">
                  <c:v>100</c:v>
                </c:pt>
                <c:pt idx="6">
                  <c:v>100</c:v>
                </c:pt>
                <c:pt idx="7">
                  <c:v>100</c:v>
                </c:pt>
                <c:pt idx="8">
                  <c:v>100</c:v>
                </c:pt>
                <c:pt idx="9">
                  <c:v>99.99999996520201</c:v>
                </c:pt>
                <c:pt idx="10">
                  <c:v>99.99982153286184</c:v>
                </c:pt>
                <c:pt idx="11">
                  <c:v>99.97487177858507</c:v>
                </c:pt>
                <c:pt idx="12">
                  <c:v>99.48952441312622</c:v>
                </c:pt>
                <c:pt idx="13">
                  <c:v>96.76340754749762</c:v>
                </c:pt>
                <c:pt idx="14">
                  <c:v>89.95683050765915</c:v>
                </c:pt>
                <c:pt idx="15">
                  <c:v>80.00406052116821</c:v>
                </c:pt>
                <c:pt idx="16">
                  <c:v>69.48792920763029</c:v>
                </c:pt>
                <c:pt idx="17">
                  <c:v>60.285181515648254</c:v>
                </c:pt>
                <c:pt idx="18">
                  <c:v>52.82109354856149</c:v>
                </c:pt>
                <c:pt idx="19">
                  <c:v>47.134599867857155</c:v>
                </c:pt>
              </c:numCache>
            </c:numRef>
          </c:yVal>
          <c:smooth val="1"/>
        </c:ser>
        <c:ser>
          <c:idx val="2"/>
          <c:order val="3"/>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Reports!$F$24:$F$43</c:f>
              <c:numCache>
                <c:ptCount val="20"/>
                <c:pt idx="0">
                  <c:v>100</c:v>
                </c:pt>
                <c:pt idx="1">
                  <c:v>100</c:v>
                </c:pt>
                <c:pt idx="2">
                  <c:v>98.88023526951574</c:v>
                </c:pt>
                <c:pt idx="3">
                  <c:v>96.32361001361686</c:v>
                </c:pt>
                <c:pt idx="4">
                  <c:v>93.81219087253714</c:v>
                </c:pt>
                <c:pt idx="5">
                  <c:v>91.5318694659079</c:v>
                </c:pt>
                <c:pt idx="6">
                  <c:v>89.15752030478701</c:v>
                </c:pt>
                <c:pt idx="7">
                  <c:v>86.4378940766412</c:v>
                </c:pt>
                <c:pt idx="8">
                  <c:v>83.28243812128906</c:v>
                </c:pt>
                <c:pt idx="9">
                  <c:v>79.15535092984342</c:v>
                </c:pt>
                <c:pt idx="10">
                  <c:v>74.29792341001284</c:v>
                </c:pt>
                <c:pt idx="11">
                  <c:v>68.0985855532371</c:v>
                </c:pt>
                <c:pt idx="12">
                  <c:v>60.527874746151106</c:v>
                </c:pt>
                <c:pt idx="13">
                  <c:v>51.77129961779691</c:v>
                </c:pt>
                <c:pt idx="14">
                  <c:v>42.921295849436106</c:v>
                </c:pt>
                <c:pt idx="15">
                  <c:v>35.18152485227806</c:v>
                </c:pt>
                <c:pt idx="16">
                  <c:v>29.083277111950565</c:v>
                </c:pt>
                <c:pt idx="17">
                  <c:v>24.56972954835853</c:v>
                </c:pt>
                <c:pt idx="18">
                  <c:v>21.24277041549928</c:v>
                </c:pt>
                <c:pt idx="19">
                  <c:v>18.840914596375455</c:v>
                </c:pt>
              </c:numCache>
            </c:numRef>
          </c:yVal>
          <c:smooth val="1"/>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Reports!$I$24:$I$43</c:f>
              <c:numCache>
                <c:ptCount val="20"/>
                <c:pt idx="0">
                  <c:v>100</c:v>
                </c:pt>
                <c:pt idx="1">
                  <c:v>100</c:v>
                </c:pt>
                <c:pt idx="2">
                  <c:v>98.51411411256028</c:v>
                </c:pt>
                <c:pt idx="3">
                  <c:v>95.12156808588806</c:v>
                </c:pt>
                <c:pt idx="4">
                  <c:v>91.78900888163228</c:v>
                </c:pt>
                <c:pt idx="5">
                  <c:v>88.76310772159867</c:v>
                </c:pt>
                <c:pt idx="6">
                  <c:v>85.61243525057156</c:v>
                </c:pt>
                <c:pt idx="7">
                  <c:v>82.00359303443469</c:v>
                </c:pt>
                <c:pt idx="8">
                  <c:v>77.81642108228037</c:v>
                </c:pt>
                <c:pt idx="9">
                  <c:v>72.33993085596283</c:v>
                </c:pt>
                <c:pt idx="10">
                  <c:v>65.89436240857796</c:v>
                </c:pt>
                <c:pt idx="11">
                  <c:v>57.676079355309554</c:v>
                </c:pt>
                <c:pt idx="12">
                  <c:v>47.78742535059194</c:v>
                </c:pt>
                <c:pt idx="13">
                  <c:v>37.05624663843043</c:v>
                </c:pt>
                <c:pt idx="14">
                  <c:v>27.535931227020516</c:v>
                </c:pt>
                <c:pt idx="15">
                  <c:v>20.519560033704614</c:v>
                </c:pt>
                <c:pt idx="16">
                  <c:v>15.866777275143212</c:v>
                </c:pt>
                <c:pt idx="17">
                  <c:v>12.887527760812386</c:v>
                </c:pt>
                <c:pt idx="18">
                  <c:v>10.914110227782839</c:v>
                </c:pt>
                <c:pt idx="19">
                  <c:v>9.5867763618629</c:v>
                </c:pt>
              </c:numCache>
            </c:numRef>
          </c:yVal>
          <c:smooth val="1"/>
        </c:ser>
        <c:ser>
          <c:idx val="5"/>
          <c:order val="5"/>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Reports!$J$24:$J$43</c:f>
              <c:numCache>
                <c:ptCount val="20"/>
                <c:pt idx="0">
                  <c:v>100.00000000000001</c:v>
                </c:pt>
                <c:pt idx="1">
                  <c:v>100.00000000000001</c:v>
                </c:pt>
                <c:pt idx="2">
                  <c:v>99.99959522237413</c:v>
                </c:pt>
                <c:pt idx="3">
                  <c:v>99.99867104189836</c:v>
                </c:pt>
                <c:pt idx="4">
                  <c:v>99.99776320273371</c:v>
                </c:pt>
                <c:pt idx="5">
                  <c:v>99.99693890182468</c:v>
                </c:pt>
                <c:pt idx="6">
                  <c:v>99.99608061133713</c:v>
                </c:pt>
                <c:pt idx="7">
                  <c:v>99.99509750853173</c:v>
                </c:pt>
                <c:pt idx="8">
                  <c:v>99.99395686002278</c:v>
                </c:pt>
                <c:pt idx="9">
                  <c:v>99.9924649498271</c:v>
                </c:pt>
                <c:pt idx="10">
                  <c:v>99.99053763813104</c:v>
                </c:pt>
                <c:pt idx="11">
                  <c:v>99.96381875470972</c:v>
                </c:pt>
                <c:pt idx="12">
                  <c:v>99.479867997235</c:v>
                </c:pt>
                <c:pt idx="13">
                  <c:v>96.76034408128453</c:v>
                </c:pt>
                <c:pt idx="14">
                  <c:v>89.95971657788284</c:v>
                </c:pt>
                <c:pt idx="15">
                  <c:v>80.0082603094881</c:v>
                </c:pt>
                <c:pt idx="16">
                  <c:v>69.49072244317367</c:v>
                </c:pt>
                <c:pt idx="17">
                  <c:v>60.28629111210596</c:v>
                </c:pt>
                <c:pt idx="18">
                  <c:v>52.82108366282505</c:v>
                </c:pt>
                <c:pt idx="19">
                  <c:v>47.13403981227055</c:v>
                </c:pt>
              </c:numCache>
            </c:numRef>
          </c:yVal>
          <c:smooth val="1"/>
        </c:ser>
        <c:ser>
          <c:idx val="6"/>
          <c:order val="6"/>
          <c:tx>
            <c:v>Fresh Feed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FF"/>
              </a:solidFill>
              <a:ln>
                <a:solidFill>
                  <a:srgbClr val="339966"/>
                </a:solidFill>
              </a:ln>
            </c:spPr>
          </c:marker>
          <c:xVal>
            <c:numRef>
              <c:f>Data_File!$E$25:$E$44</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Data_File!$I$25:$I$44</c:f>
              <c:numCache>
                <c:ptCount val="20"/>
                <c:pt idx="0">
                  <c:v>100</c:v>
                </c:pt>
                <c:pt idx="1">
                  <c:v>100</c:v>
                </c:pt>
                <c:pt idx="2">
                  <c:v>95</c:v>
                </c:pt>
                <c:pt idx="3">
                  <c:v>78.4</c:v>
                </c:pt>
                <c:pt idx="4">
                  <c:v>64.33</c:v>
                </c:pt>
                <c:pt idx="5">
                  <c:v>54</c:v>
                </c:pt>
                <c:pt idx="6">
                  <c:v>45.66</c:v>
                </c:pt>
                <c:pt idx="7">
                  <c:v>38.82</c:v>
                </c:pt>
                <c:pt idx="8">
                  <c:v>33.41</c:v>
                </c:pt>
                <c:pt idx="9">
                  <c:v>28.31</c:v>
                </c:pt>
                <c:pt idx="10">
                  <c:v>24.41</c:v>
                </c:pt>
                <c:pt idx="11">
                  <c:v>20.87</c:v>
                </c:pt>
                <c:pt idx="12">
                  <c:v>17.86</c:v>
                </c:pt>
                <c:pt idx="13">
                  <c:v>15.27</c:v>
                </c:pt>
                <c:pt idx="14">
                  <c:v>13.06</c:v>
                </c:pt>
                <c:pt idx="15">
                  <c:v>11.18</c:v>
                </c:pt>
                <c:pt idx="16">
                  <c:v>9.56</c:v>
                </c:pt>
                <c:pt idx="17">
                  <c:v>8.18</c:v>
                </c:pt>
                <c:pt idx="18">
                  <c:v>7</c:v>
                </c:pt>
                <c:pt idx="19">
                  <c:v>6.15</c:v>
                </c:pt>
              </c:numCache>
            </c:numRef>
          </c:yVal>
          <c:smooth val="1"/>
        </c:ser>
        <c:axId val="23992463"/>
        <c:axId val="43466564"/>
      </c:scatterChart>
      <c:valAx>
        <c:axId val="23992463"/>
        <c:scaling>
          <c:logBase val="10"/>
          <c:orientation val="minMax"/>
          <c:max val="10000"/>
          <c:min val="10"/>
        </c:scaling>
        <c:axPos val="b"/>
        <c:title>
          <c:tx>
            <c:rich>
              <a:bodyPr vert="horz" rot="0" anchor="ctr"/>
              <a:lstStyle/>
              <a:p>
                <a:pPr algn="ctr">
                  <a:defRPr/>
                </a:pPr>
                <a:r>
                  <a:rPr lang="en-US" cap="none" sz="800" b="1" i="0" u="none" baseline="0">
                    <a:latin typeface="Arial"/>
                    <a:ea typeface="Arial"/>
                    <a:cs typeface="Arial"/>
                  </a:rPr>
                  <a:t>Particle Size, microns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466564"/>
        <c:crosses val="autoZero"/>
        <c:crossBetween val="midCat"/>
        <c:dispUnits/>
      </c:valAx>
      <c:valAx>
        <c:axId val="43466564"/>
        <c:scaling>
          <c:logBase val="10"/>
          <c:orientation val="minMax"/>
          <c:max val="100"/>
          <c:min val="1"/>
        </c:scaling>
        <c:axPos val="l"/>
        <c:title>
          <c:tx>
            <c:rich>
              <a:bodyPr vert="horz" rot="-5400000" anchor="ctr"/>
              <a:lstStyle/>
              <a:p>
                <a:pPr algn="ctr">
                  <a:defRPr/>
                </a:pPr>
                <a:r>
                  <a:rPr lang="en-US" cap="none" sz="800" b="1" i="0" u="none" baseline="0">
                    <a:latin typeface="Arial"/>
                    <a:ea typeface="Arial"/>
                    <a:cs typeface="Arial"/>
                  </a:rPr>
                  <a:t>% Passing</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992463"/>
        <c:crosses val="autoZero"/>
        <c:crossBetween val="midCat"/>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66775"/>
          <c:y val="0.63025"/>
          <c:w val="0.2465"/>
          <c:h val="0.21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11</xdr:col>
      <xdr:colOff>600075</xdr:colOff>
      <xdr:row>54</xdr:row>
      <xdr:rowOff>0</xdr:rowOff>
    </xdr:to>
    <xdr:sp>
      <xdr:nvSpPr>
        <xdr:cNvPr id="1" name="TextBox 2"/>
        <xdr:cNvSpPr txBox="1">
          <a:spLocks noChangeArrowheads="1"/>
        </xdr:cNvSpPr>
      </xdr:nvSpPr>
      <xdr:spPr>
        <a:xfrm>
          <a:off x="104775" y="476250"/>
          <a:ext cx="6705600" cy="8267700"/>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latin typeface="Arial"/>
              <a:ea typeface="Arial"/>
              <a:cs typeface="Arial"/>
            </a:rPr>
            <a:t>
The </a:t>
          </a:r>
          <a:r>
            <a:rPr lang="en-US" cap="none" sz="1000" b="1" i="0" u="none" baseline="0">
              <a:latin typeface="Arial"/>
              <a:ea typeface="Arial"/>
              <a:cs typeface="Arial"/>
            </a:rPr>
            <a:t>BallBal_Direct</a:t>
          </a:r>
          <a:r>
            <a:rPr lang="en-US" cap="none" sz="1000" b="0" i="0" u="none" baseline="0">
              <a:latin typeface="Arial"/>
              <a:ea typeface="Arial"/>
              <a:cs typeface="Arial"/>
            </a:rPr>
            <a:t> spreadsheet was designed to compute the </a:t>
          </a:r>
          <a:r>
            <a:rPr lang="en-US" cap="none" sz="1000" b="1" i="0" u="none" baseline="0">
              <a:latin typeface="Arial"/>
              <a:ea typeface="Arial"/>
              <a:cs typeface="Arial"/>
            </a:rPr>
            <a:t>Size-by-Size Mass Balance</a:t>
          </a:r>
          <a:r>
            <a:rPr lang="en-US" cap="none" sz="1000" b="0" i="0" u="none" baseline="0">
              <a:latin typeface="Arial"/>
              <a:ea typeface="Arial"/>
              <a:cs typeface="Arial"/>
            </a:rPr>
            <a:t> around the </a:t>
          </a:r>
          <a:r>
            <a:rPr lang="en-US" cap="none" sz="1000" b="1" i="0" u="none" baseline="0">
              <a:latin typeface="Arial"/>
              <a:ea typeface="Arial"/>
              <a:cs typeface="Arial"/>
            </a:rPr>
            <a:t>Hydrocyclone Classifiers</a:t>
          </a:r>
          <a:r>
            <a:rPr lang="en-US" cap="none" sz="1000" b="0" i="0" u="none" baseline="0">
              <a:latin typeface="Arial"/>
              <a:ea typeface="Arial"/>
              <a:cs typeface="Arial"/>
            </a:rPr>
            <a:t> of any given </a:t>
          </a:r>
          <a:r>
            <a:rPr lang="en-US" cap="none" sz="1000" b="1" i="0" u="none" baseline="0">
              <a:latin typeface="Arial"/>
              <a:ea typeface="Arial"/>
              <a:cs typeface="Arial"/>
            </a:rPr>
            <a:t>Conventional Ball Mill</a:t>
          </a:r>
          <a:r>
            <a:rPr lang="en-US" cap="none" sz="1000" b="0" i="0" u="none" baseline="0">
              <a:latin typeface="Arial"/>
              <a:ea typeface="Arial"/>
              <a:cs typeface="Arial"/>
            </a:rPr>
            <a:t> circuit, operating under the </a:t>
          </a:r>
          <a:r>
            <a:rPr lang="en-US" cap="none" sz="1000" b="1" i="0" u="none" baseline="0">
              <a:latin typeface="Arial"/>
              <a:ea typeface="Arial"/>
              <a:cs typeface="Arial"/>
            </a:rPr>
            <a:t>Direct</a:t>
          </a:r>
          <a:r>
            <a:rPr lang="en-US" cap="none" sz="1000" b="0" i="0" u="none" baseline="0">
              <a:latin typeface="Arial"/>
              <a:ea typeface="Arial"/>
              <a:cs typeface="Arial"/>
            </a:rPr>
            <a:t> configuration (see </a:t>
          </a:r>
          <a:r>
            <a:rPr lang="en-US" cap="none" sz="1000" b="1" i="0" u="none" baseline="0">
              <a:latin typeface="Arial"/>
              <a:ea typeface="Arial"/>
              <a:cs typeface="Arial"/>
            </a:rPr>
            <a:t>Flowsheet</a:t>
          </a:r>
          <a:r>
            <a:rPr lang="en-US" cap="none" sz="1000" b="0" i="0" u="none" baseline="0">
              <a:latin typeface="Arial"/>
              <a:ea typeface="Arial"/>
              <a:cs typeface="Arial"/>
            </a:rPr>
            <a:t>), on the basis of actual plant measurements.
</a:t>
          </a:r>
          <a:r>
            <a:rPr lang="en-US" cap="none" sz="1000" b="1" i="0" u="none" baseline="0">
              <a:solidFill>
                <a:srgbClr val="000080"/>
              </a:solidFill>
              <a:latin typeface="Arial"/>
              <a:ea typeface="Arial"/>
              <a:cs typeface="Arial"/>
            </a:rPr>
            <a:t>Theoretical Framework :</a:t>
          </a:r>
          <a:r>
            <a:rPr lang="en-US" cap="none" sz="1000" b="0" i="0" u="none" baseline="0">
              <a:latin typeface="Arial"/>
              <a:ea typeface="Arial"/>
              <a:cs typeface="Arial"/>
            </a:rPr>
            <a:t>
Whenever actual grinding data are collected in a plant environment, they will invariably be affected by natural experimental and measurement errors, in such a way that the basic mass balance equation around the hydrocyclones, for particles of size d</a:t>
          </a:r>
          <a:r>
            <a:rPr lang="en-US" cap="none" sz="1000" b="0" i="0" u="none" baseline="-25000">
              <a:latin typeface="Arial"/>
              <a:ea typeface="Arial"/>
              <a:cs typeface="Arial"/>
            </a:rPr>
            <a:t>i</a:t>
          </a:r>
          <a:r>
            <a:rPr lang="en-US" cap="none" sz="1000" b="0" i="0" u="none" baseline="0">
              <a:latin typeface="Arial"/>
              <a:ea typeface="Arial"/>
              <a:cs typeface="Arial"/>
            </a:rPr>
            <a:t> :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CF</a:t>
          </a:r>
          <a:r>
            <a:rPr lang="en-US" cap="none" sz="1000" b="1" i="0" u="none" baseline="0">
              <a:latin typeface="Arial"/>
              <a:ea typeface="Arial"/>
              <a:cs typeface="Arial"/>
            </a:rPr>
            <a:t> CF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U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O    </a:t>
          </a:r>
          <a:r>
            <a:rPr lang="en-US" cap="none" sz="1000" b="1" i="0" u="none" baseline="0">
              <a:solidFill>
                <a:srgbClr val="FF0000"/>
              </a:solidFill>
              <a:latin typeface="Arial"/>
              <a:ea typeface="Arial"/>
              <a:cs typeface="Arial"/>
            </a:rPr>
            <a:t>???</a:t>
          </a:r>
          <a:r>
            <a:rPr lang="en-US" cap="none" sz="1000" b="1" i="0" u="none" baseline="0">
              <a:latin typeface="Arial"/>
              <a:ea typeface="Arial"/>
              <a:cs typeface="Arial"/>
            </a:rPr>
            <a:t>            </a:t>
          </a:r>
          <a:r>
            <a:rPr lang="en-US" cap="none" sz="1000" b="0" i="0" u="none" baseline="0">
              <a:latin typeface="Arial"/>
              <a:ea typeface="Arial"/>
              <a:cs typeface="Arial"/>
            </a:rPr>
            <a:t>, for i = 1,n</a:t>
          </a:r>
          <a:r>
            <a:rPr lang="en-US" cap="none" sz="1000" b="0" i="0" u="none" baseline="0">
              <a:latin typeface="Arial"/>
              <a:ea typeface="Arial"/>
              <a:cs typeface="Arial"/>
            </a:rPr>
            <a:t>
will never be satisfied. In the above expression </a:t>
          </a:r>
          <a:r>
            <a:rPr lang="en-US" cap="none" sz="1000" b="1" i="0" u="none" baseline="0">
              <a:latin typeface="Arial"/>
              <a:ea typeface="Arial"/>
              <a:cs typeface="Arial"/>
            </a:rPr>
            <a:t>CF</a:t>
          </a:r>
          <a:r>
            <a:rPr lang="en-US" cap="none" sz="1000" b="0" i="0" u="none" baseline="0">
              <a:latin typeface="Arial"/>
              <a:ea typeface="Arial"/>
              <a:cs typeface="Arial"/>
            </a:rPr>
            <a:t>, </a:t>
          </a:r>
          <a:r>
            <a:rPr lang="en-US" cap="none" sz="1000" b="1" i="0" u="none" baseline="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O</a:t>
          </a:r>
          <a:r>
            <a:rPr lang="en-US" cap="none" sz="1000" b="0" i="0" u="none" baseline="0">
              <a:latin typeface="Arial"/>
              <a:ea typeface="Arial"/>
              <a:cs typeface="Arial"/>
            </a:rPr>
            <a:t> represent the mass flowrate of solids in the cyclones feed, underflow and overflow streams, respectively. Similarly,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CF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0" i="0" u="none" baseline="0">
              <a:latin typeface="Arial"/>
              <a:ea typeface="Arial"/>
              <a:cs typeface="Arial"/>
            </a:rPr>
            <a:t> represent the fraction of those total respective streams corresponding to particles of size d</a:t>
          </a:r>
          <a:r>
            <a:rPr lang="en-US" cap="none" sz="1000" b="0" i="0" u="none" baseline="-25000">
              <a:latin typeface="Arial"/>
              <a:ea typeface="Arial"/>
              <a:cs typeface="Arial"/>
            </a:rPr>
            <a:t>i</a:t>
          </a:r>
          <a:r>
            <a:rPr lang="en-US" cap="none" sz="1000" b="0" i="0" u="none" baseline="0">
              <a:latin typeface="Arial"/>
              <a:ea typeface="Arial"/>
              <a:cs typeface="Arial"/>
            </a:rPr>
            <a:t>.
The </a:t>
          </a:r>
          <a:r>
            <a:rPr lang="en-US" cap="none" sz="1000" b="1" i="0" u="none" baseline="0">
              <a:latin typeface="Arial"/>
              <a:ea typeface="Arial"/>
              <a:cs typeface="Arial"/>
            </a:rPr>
            <a:t>Ballbal_Direct</a:t>
          </a:r>
          <a:r>
            <a:rPr lang="en-US" cap="none" sz="1000" b="0" i="0" u="none" baseline="0">
              <a:latin typeface="Arial"/>
              <a:ea typeface="Arial"/>
              <a:cs typeface="Arial"/>
            </a:rPr>
            <a:t> routine allows for the calculation of a whole new set of corresponding </a:t>
          </a:r>
          <a:r>
            <a:rPr lang="en-US" cap="none" sz="1000" b="0" i="0" u="sng" baseline="0">
              <a:latin typeface="Arial"/>
              <a:ea typeface="Arial"/>
              <a:cs typeface="Arial"/>
            </a:rPr>
            <a:t>adjusted</a:t>
          </a:r>
          <a:r>
            <a:rPr lang="en-US" cap="none" sz="1000" b="0" i="0" u="none" baseline="0">
              <a:latin typeface="Arial"/>
              <a:ea typeface="Arial"/>
              <a:cs typeface="Arial"/>
            </a:rPr>
            <a:t> or </a:t>
          </a:r>
          <a:r>
            <a:rPr lang="en-US" cap="none" sz="1000" b="0" i="0" u="sng" baseline="0">
              <a:latin typeface="Arial"/>
              <a:ea typeface="Arial"/>
              <a:cs typeface="Arial"/>
            </a:rPr>
            <a:t>fitted</a:t>
          </a:r>
          <a:r>
            <a:rPr lang="en-US" cap="none" sz="1000" b="0" i="0" u="none" baseline="0">
              <a:latin typeface="Arial"/>
              <a:ea typeface="Arial"/>
              <a:cs typeface="Arial"/>
            </a:rPr>
            <a:t> values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CF</a:t>
          </a:r>
          <a:r>
            <a:rPr lang="en-US" cap="none" sz="1000" b="0" i="1" u="none" baseline="0">
              <a:latin typeface="Arial"/>
              <a:ea typeface="Arial"/>
              <a:cs typeface="Arial"/>
            </a:rPr>
            <a:t>, 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and 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0" u="none" baseline="0">
              <a:latin typeface="Arial"/>
              <a:ea typeface="Arial"/>
              <a:cs typeface="Arial"/>
            </a:rPr>
            <a:t>, such that the objective functions :
                                   </a:t>
          </a:r>
          <a:r>
            <a:rPr lang="en-US" cap="none" sz="1000" b="1" i="0" u="none" baseline="0">
              <a:latin typeface="Symbol"/>
              <a:ea typeface="Symbol"/>
              <a:cs typeface="Symbol"/>
            </a:rPr>
            <a:t>f</a:t>
          </a:r>
          <a:r>
            <a:rPr lang="en-US" cap="none" sz="1000" b="1" i="0" u="none" baseline="-25000">
              <a:latin typeface="Arial"/>
              <a:ea typeface="Arial"/>
              <a:cs typeface="Arial"/>
            </a:rPr>
            <a:t>i</a:t>
          </a:r>
          <a:r>
            <a:rPr lang="en-US" cap="none" sz="1000" b="1" i="0" u="none" baseline="0">
              <a:latin typeface="Arial"/>
              <a:ea typeface="Arial"/>
              <a:cs typeface="Arial"/>
            </a:rPr>
            <a:t>  =  [ w</a:t>
          </a:r>
          <a:r>
            <a:rPr lang="en-US" cap="none" sz="1000" b="1" i="0" u="none" baseline="30000">
              <a:latin typeface="Arial"/>
              <a:ea typeface="Arial"/>
              <a:cs typeface="Arial"/>
            </a:rPr>
            <a:t>CF</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CF</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CF</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U</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O</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a:t>
          </a:r>
          <a:r>
            <a:rPr lang="en-US" cap="none" sz="1000" b="0" i="0" u="none" baseline="0">
              <a:latin typeface="Arial"/>
              <a:ea typeface="Arial"/>
              <a:cs typeface="Arial"/>
            </a:rPr>
            <a:t>      ,for every particle size d</a:t>
          </a:r>
          <a:r>
            <a:rPr lang="en-US" cap="none" sz="1000" b="0" i="0" u="none" baseline="-25000">
              <a:latin typeface="Arial"/>
              <a:ea typeface="Arial"/>
              <a:cs typeface="Arial"/>
            </a:rPr>
            <a:t>i</a:t>
          </a:r>
          <a:r>
            <a:rPr lang="en-US" cap="none" sz="1000" b="0" i="0" u="none" baseline="0">
              <a:latin typeface="Arial"/>
              <a:ea typeface="Arial"/>
              <a:cs typeface="Arial"/>
            </a:rPr>
            <a:t>
are minimized and the adjusted values so generated strictly satisfy the mass balance restrictions :
                                               </a:t>
          </a:r>
          <a:r>
            <a:rPr lang="en-US" cap="none" sz="1000" b="1" i="1"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CF</a:t>
          </a:r>
          <a:r>
            <a:rPr lang="en-US" cap="none" sz="1000" b="0" i="1" u="none" baseline="0">
              <a:latin typeface="Arial"/>
              <a:ea typeface="Arial"/>
              <a:cs typeface="Arial"/>
            </a:rPr>
            <a:t> CF</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U</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1" u="none" baseline="0">
              <a:latin typeface="Arial"/>
              <a:ea typeface="Arial"/>
              <a:cs typeface="Arial"/>
            </a:rPr>
            <a:t> O</a:t>
          </a:r>
          <a:r>
            <a:rPr lang="en-US" cap="none" sz="1000" b="0" i="0" u="none" baseline="0">
              <a:latin typeface="Arial"/>
              <a:ea typeface="Arial"/>
              <a:cs typeface="Arial"/>
            </a:rPr>
            <a:t>              , for i = 1,n
where </a:t>
          </a:r>
          <a:r>
            <a:rPr lang="en-US" cap="none" sz="1000" b="1" i="0" u="none" baseline="0">
              <a:latin typeface="Arial"/>
              <a:ea typeface="Arial"/>
              <a:cs typeface="Arial"/>
            </a:rPr>
            <a:t>w</a:t>
          </a:r>
          <a:r>
            <a:rPr lang="en-US" cap="none" sz="1000" b="1" i="0" u="none" baseline="30000">
              <a:latin typeface="Arial"/>
              <a:ea typeface="Arial"/>
              <a:cs typeface="Arial"/>
            </a:rPr>
            <a:t>CF</a:t>
          </a:r>
          <a:r>
            <a:rPr lang="en-US" cap="none" sz="1000" b="0" i="0" u="none" baseline="0">
              <a:latin typeface="Arial"/>
              <a:ea typeface="Arial"/>
              <a:cs typeface="Arial"/>
            </a:rPr>
            <a:t>, </a:t>
          </a:r>
          <a:r>
            <a:rPr lang="en-US" cap="none" sz="1000" b="1" i="0" u="none" baseline="0">
              <a:latin typeface="Arial"/>
              <a:ea typeface="Arial"/>
              <a:cs typeface="Arial"/>
            </a:rPr>
            <a:t>w</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w</a:t>
          </a:r>
          <a:r>
            <a:rPr lang="en-US" cap="none" sz="1000" b="1" i="0" u="none" baseline="30000">
              <a:latin typeface="Arial"/>
              <a:ea typeface="Arial"/>
              <a:cs typeface="Arial"/>
            </a:rPr>
            <a:t>O</a:t>
          </a:r>
          <a:r>
            <a:rPr lang="en-US" cap="none" sz="1000" b="0" i="0" u="none" baseline="0">
              <a:latin typeface="Arial"/>
              <a:ea typeface="Arial"/>
              <a:cs typeface="Arial"/>
            </a:rPr>
            <a:t> are user-defined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samples from each of the 3 streams and the mass flowrates </a:t>
          </a:r>
          <a:r>
            <a:rPr lang="en-US" cap="none" sz="1000" b="0" i="1" u="none" baseline="0">
              <a:latin typeface="Arial"/>
              <a:ea typeface="Arial"/>
              <a:cs typeface="Arial"/>
            </a:rPr>
            <a:t>CF</a:t>
          </a:r>
          <a:r>
            <a:rPr lang="en-US" cap="none" sz="1000" b="0" i="0" u="none" baseline="0">
              <a:latin typeface="Arial"/>
              <a:ea typeface="Arial"/>
              <a:cs typeface="Arial"/>
            </a:rPr>
            <a:t>, </a:t>
          </a:r>
          <a:r>
            <a:rPr lang="en-US" cap="none" sz="1000" b="0" i="1" u="none" baseline="0">
              <a:latin typeface="Arial"/>
              <a:ea typeface="Arial"/>
              <a:cs typeface="Arial"/>
            </a:rPr>
            <a:t>U</a:t>
          </a:r>
          <a:r>
            <a:rPr lang="en-US" cap="none" sz="1000" b="0" i="0" u="none" baseline="0">
              <a:latin typeface="Arial"/>
              <a:ea typeface="Arial"/>
              <a:cs typeface="Arial"/>
            </a:rPr>
            <a:t> and </a:t>
          </a:r>
          <a:r>
            <a:rPr lang="en-US" cap="none" sz="1000" b="0" i="1" u="none" baseline="0">
              <a:latin typeface="Arial"/>
              <a:ea typeface="Arial"/>
              <a:cs typeface="Arial"/>
            </a:rPr>
            <a:t>O</a:t>
          </a:r>
          <a:r>
            <a:rPr lang="en-US" cap="none" sz="1000" b="0" i="0" u="none" baseline="0">
              <a:latin typeface="Arial"/>
              <a:ea typeface="Arial"/>
              <a:cs typeface="Arial"/>
            </a:rPr>
            <a:t> are calculated as :
                                                                 </a:t>
          </a:r>
          <a:r>
            <a:rPr lang="en-US" cap="none" sz="1000" b="0" i="1" u="none" baseline="0">
              <a:latin typeface="Arial"/>
              <a:ea typeface="Arial"/>
              <a:cs typeface="Arial"/>
            </a:rPr>
            <a:t>CF</a:t>
          </a:r>
          <a:r>
            <a:rPr lang="en-US" cap="none" sz="1000" b="1" i="0" u="none" baseline="0">
              <a:latin typeface="Arial"/>
              <a:ea typeface="Arial"/>
              <a:cs typeface="Arial"/>
            </a:rPr>
            <a:t>  =  F (1 + CL)
                                                                   </a:t>
          </a:r>
          <a:r>
            <a:rPr lang="en-US" cap="none" sz="1000" b="0" i="1" u="none" baseline="0">
              <a:latin typeface="Arial"/>
              <a:ea typeface="Arial"/>
              <a:cs typeface="Arial"/>
            </a:rPr>
            <a:t>U</a:t>
          </a:r>
          <a:r>
            <a:rPr lang="en-US" cap="none" sz="1000" b="1" i="0" u="none" baseline="0">
              <a:latin typeface="Arial"/>
              <a:ea typeface="Arial"/>
              <a:cs typeface="Arial"/>
            </a:rPr>
            <a:t>  =  F (CL)
                                                                   </a:t>
          </a:r>
          <a:r>
            <a:rPr lang="en-US" cap="none" sz="1000" b="0" i="1" u="none" baseline="0">
              <a:latin typeface="Arial"/>
              <a:ea typeface="Arial"/>
              <a:cs typeface="Arial"/>
            </a:rPr>
            <a:t>O</a:t>
          </a:r>
          <a:r>
            <a:rPr lang="en-US" cap="none" sz="1000" b="1" i="0" u="none" baseline="0">
              <a:latin typeface="Arial"/>
              <a:ea typeface="Arial"/>
              <a:cs typeface="Arial"/>
            </a:rPr>
            <a:t>  =  F</a:t>
          </a:r>
          <a:r>
            <a:rPr lang="en-US" cap="none" sz="1000" b="0" i="0" u="none" baseline="0">
              <a:latin typeface="Arial"/>
              <a:ea typeface="Arial"/>
              <a:cs typeface="Arial"/>
            </a:rPr>
            <a:t>
where </a:t>
          </a:r>
          <a:r>
            <a:rPr lang="en-US" cap="none" sz="1000" b="1" i="0" u="none" baseline="0">
              <a:latin typeface="Arial"/>
              <a:ea typeface="Arial"/>
              <a:cs typeface="Arial"/>
            </a:rPr>
            <a:t>F</a:t>
          </a:r>
          <a:r>
            <a:rPr lang="en-US" cap="none" sz="1000" b="0" i="0" u="none" baseline="0">
              <a:latin typeface="Arial"/>
              <a:ea typeface="Arial"/>
              <a:cs typeface="Arial"/>
            </a:rPr>
            <a:t> is the dry </a:t>
          </a:r>
          <a:r>
            <a:rPr lang="en-US" cap="none" sz="1000" b="1" i="0" u="none" baseline="0">
              <a:latin typeface="Arial"/>
              <a:ea typeface="Arial"/>
              <a:cs typeface="Arial"/>
            </a:rPr>
            <a:t>Fresh Feedrate</a:t>
          </a:r>
          <a:r>
            <a:rPr lang="en-US" cap="none" sz="1000" b="0" i="0" u="none" baseline="0">
              <a:latin typeface="Arial"/>
              <a:ea typeface="Arial"/>
              <a:cs typeface="Arial"/>
            </a:rPr>
            <a:t> of solids to the grinding section and the </a:t>
          </a:r>
          <a:r>
            <a:rPr lang="en-US" cap="none" sz="1000" b="1" i="0" u="none" baseline="0">
              <a:latin typeface="Arial"/>
              <a:ea typeface="Arial"/>
              <a:cs typeface="Arial"/>
            </a:rPr>
            <a:t>Circulating Load (CL)</a:t>
          </a:r>
          <a:r>
            <a:rPr lang="en-US" cap="none" sz="1000" b="0" i="0" u="none" baseline="0">
              <a:latin typeface="Arial"/>
              <a:ea typeface="Arial"/>
              <a:cs typeface="Arial"/>
            </a:rPr>
            <a:t> is estimated by :
                  </a:t>
          </a:r>
          <a:r>
            <a:rPr lang="en-US" cap="none" sz="1000" b="1" i="0" u="none" baseline="0">
              <a:latin typeface="Arial"/>
              <a:ea typeface="Arial"/>
              <a:cs typeface="Arial"/>
            </a:rPr>
            <a:t>CL = { u</a:t>
          </a:r>
          <a:r>
            <a:rPr lang="en-US" cap="none" sz="1000" b="1" i="0" u="none" baseline="30000">
              <a:latin typeface="Arial"/>
              <a:ea typeface="Arial"/>
              <a:cs typeface="Arial"/>
            </a:rPr>
            <a:t>sd</a:t>
          </a:r>
          <a:r>
            <a:rPr lang="en-US" cap="none" sz="1000" b="1" i="0" u="none" baseline="0">
              <a:latin typeface="Arial"/>
              <a:ea typeface="Arial"/>
              <a:cs typeface="Arial"/>
            </a:rPr>
            <a:t>  </a:t>
          </a:r>
          <a:r>
            <a:rPr lang="en-US" cap="none" sz="1600" b="1" i="0" u="none" baseline="0">
              <a:latin typeface="Symbol"/>
              <a:ea typeface="Symbol"/>
              <a:cs typeface="Symbol"/>
            </a:rPr>
            <a:t>S</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CF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CF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u</a:t>
          </a:r>
          <a:r>
            <a:rPr lang="en-US" cap="none" sz="1000" b="1" i="0" u="none" baseline="30000">
              <a:latin typeface="Arial"/>
              <a:ea typeface="Arial"/>
              <a:cs typeface="Arial"/>
            </a:rPr>
            <a:t>fs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CF</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CF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1" i="0" u="none" baseline="0">
              <a:latin typeface="Arial"/>
              <a:ea typeface="Arial"/>
              <a:cs typeface="Arial"/>
            </a:rPr>
            <a:t>) } / (u</a:t>
          </a:r>
          <a:r>
            <a:rPr lang="en-US" cap="none" sz="1000" b="1" i="0" u="none" baseline="30000">
              <a:latin typeface="Arial"/>
              <a:ea typeface="Arial"/>
              <a:cs typeface="Arial"/>
            </a:rPr>
            <a:t>sd</a:t>
          </a:r>
          <a:r>
            <a:rPr lang="en-US" cap="none" sz="1000" b="1" i="0" u="none" baseline="0">
              <a:latin typeface="Arial"/>
              <a:ea typeface="Arial"/>
              <a:cs typeface="Arial"/>
            </a:rPr>
            <a:t> + u</a:t>
          </a:r>
          <a:r>
            <a:rPr lang="en-US" cap="none" sz="1000" b="1" i="0" u="none" baseline="30000">
              <a:latin typeface="Arial"/>
              <a:ea typeface="Arial"/>
              <a:cs typeface="Arial"/>
            </a:rPr>
            <a:t>fs</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0" u="none" baseline="30000">
              <a:latin typeface="Arial"/>
              <a:ea typeface="Arial"/>
              <a:cs typeface="Arial"/>
            </a:rPr>
            <a:t>all i</a:t>
          </a:r>
          <a:r>
            <a:rPr lang="en-US" cap="none" sz="1000" b="0" i="0" u="none" baseline="0">
              <a:latin typeface="Arial"/>
              <a:ea typeface="Arial"/>
              <a:cs typeface="Arial"/>
            </a:rPr>
            <a:t>
where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CF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0" i="0" u="none" baseline="0">
              <a:latin typeface="Arial"/>
              <a:ea typeface="Arial"/>
              <a:cs typeface="Arial"/>
            </a:rPr>
            <a:t> are the weight fractions of total solids in the cyclones feed, underflow and overflow streams, respectively, and also </a:t>
          </a:r>
          <a:r>
            <a:rPr lang="en-US" cap="none" sz="1000" b="1" i="0" u="none" baseline="0">
              <a:latin typeface="Arial"/>
              <a:ea typeface="Arial"/>
              <a:cs typeface="Arial"/>
            </a:rPr>
            <a:t>u</a:t>
          </a:r>
          <a:r>
            <a:rPr lang="en-US" cap="none" sz="1000" b="1" i="0" u="none" baseline="30000">
              <a:latin typeface="Arial"/>
              <a:ea typeface="Arial"/>
              <a:cs typeface="Arial"/>
            </a:rPr>
            <a:t>sd</a:t>
          </a:r>
          <a:r>
            <a:rPr lang="en-US" cap="none" sz="1000" b="0" i="0" u="none" baseline="0">
              <a:latin typeface="Arial"/>
              <a:ea typeface="Arial"/>
              <a:cs typeface="Arial"/>
            </a:rPr>
            <a:t> and </a:t>
          </a:r>
          <a:r>
            <a:rPr lang="en-US" cap="none" sz="1000" b="1" i="0" u="none" baseline="0">
              <a:latin typeface="Arial"/>
              <a:ea typeface="Arial"/>
              <a:cs typeface="Arial"/>
            </a:rPr>
            <a:t>u</a:t>
          </a:r>
          <a:r>
            <a:rPr lang="en-US" cap="none" sz="1000" b="1" i="0" u="none" baseline="30000">
              <a:latin typeface="Arial"/>
              <a:ea typeface="Arial"/>
              <a:cs typeface="Arial"/>
            </a:rPr>
            <a:t>fs</a:t>
          </a:r>
          <a:r>
            <a:rPr lang="en-US" cap="none" sz="1000" b="0" i="0" u="none" baseline="0">
              <a:latin typeface="Arial"/>
              <a:ea typeface="Arial"/>
              <a:cs typeface="Arial"/>
            </a:rPr>
            <a:t> are user 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size distribution measurements vs. the percent solids measurements in all 3 streams. In general, a high relative value of a weighting factor is indicative of a more reliable measurement with respect to the other measurements participating in the same equations. A statistically sound weighting factor may be calculated as 100/(% error)</a:t>
          </a:r>
          <a:r>
            <a:rPr lang="en-US" cap="none" sz="1000" b="0" i="0" u="none" baseline="30000">
              <a:latin typeface="Arial"/>
              <a:ea typeface="Arial"/>
              <a:cs typeface="Arial"/>
            </a:rPr>
            <a:t>2</a:t>
          </a:r>
          <a:r>
            <a:rPr lang="en-US" cap="none" sz="1000" b="0" i="0" u="none" baseline="0">
              <a:latin typeface="Arial"/>
              <a:ea typeface="Arial"/>
              <a:cs typeface="Arial"/>
            </a:rPr>
            <a:t>;</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1</xdr:col>
      <xdr:colOff>0</xdr:colOff>
      <xdr:row>57</xdr:row>
      <xdr:rowOff>152400</xdr:rowOff>
    </xdr:from>
    <xdr:to>
      <xdr:col>12</xdr:col>
      <xdr:colOff>0</xdr:colOff>
      <xdr:row>108</xdr:row>
      <xdr:rowOff>0</xdr:rowOff>
    </xdr:to>
    <xdr:sp>
      <xdr:nvSpPr>
        <xdr:cNvPr id="2" name="TextBox 3"/>
        <xdr:cNvSpPr txBox="1">
          <a:spLocks noChangeArrowheads="1"/>
        </xdr:cNvSpPr>
      </xdr:nvSpPr>
      <xdr:spPr>
        <a:xfrm>
          <a:off x="114300" y="9382125"/>
          <a:ext cx="6705600" cy="810577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latin typeface="Arial"/>
              <a:ea typeface="Arial"/>
              <a:cs typeface="Arial"/>
            </a:rPr>
            <a:t>where (% error) corresponds to the combined sampling and measuring error percentage. Weighting factors must </a:t>
          </a:r>
          <a:r>
            <a:rPr lang="en-US" cap="none" sz="1000" b="0" i="0" u="sng" baseline="0">
              <a:latin typeface="Arial"/>
              <a:ea typeface="Arial"/>
              <a:cs typeface="Arial"/>
            </a:rPr>
            <a:t>never</a:t>
          </a:r>
          <a:r>
            <a:rPr lang="en-US" cap="none" sz="1000" b="0" i="0" u="none" baseline="0">
              <a:latin typeface="Arial"/>
              <a:ea typeface="Arial"/>
              <a:cs typeface="Arial"/>
            </a:rPr>
            <a:t> be set equal to zero.
The least-square minimization problem stated above may be linearized and solved through the </a:t>
          </a:r>
          <a:r>
            <a:rPr lang="en-US" cap="none" sz="1000" b="1" i="0" u="none" baseline="0">
              <a:latin typeface="Arial"/>
              <a:ea typeface="Arial"/>
              <a:cs typeface="Arial"/>
            </a:rPr>
            <a:t>Lagrange Multipliers Method</a:t>
          </a:r>
          <a:r>
            <a:rPr lang="en-US" cap="none" sz="1000" b="0" i="0" u="none" baseline="0">
              <a:latin typeface="Arial"/>
              <a:ea typeface="Arial"/>
              <a:cs typeface="Arial"/>
            </a:rPr>
            <a:t> (see </a:t>
          </a:r>
          <a:r>
            <a:rPr lang="en-US" cap="none" sz="1000" b="1" i="0" u="none" baseline="0">
              <a:latin typeface="Arial"/>
              <a:ea typeface="Arial"/>
              <a:cs typeface="Arial"/>
            </a:rPr>
            <a:t>About ... in Cyclobal_Single</a:t>
          </a:r>
          <a:r>
            <a:rPr lang="en-US" cap="none" sz="1000" b="0" i="0" u="none" baseline="0">
              <a:latin typeface="Arial"/>
              <a:ea typeface="Arial"/>
              <a:cs typeface="Arial"/>
            </a:rPr>
            <a:t>).
Further refinement of the </a:t>
          </a:r>
          <a:r>
            <a:rPr lang="en-US" cap="none" sz="1000" b="0" i="0" u="sng" baseline="0">
              <a:latin typeface="Arial"/>
              <a:ea typeface="Arial"/>
              <a:cs typeface="Arial"/>
            </a:rPr>
            <a:t>adjusted</a:t>
          </a:r>
          <a:r>
            <a:rPr lang="en-US" cap="none" sz="1000" b="0" i="0" u="none" baseline="0">
              <a:latin typeface="Arial"/>
              <a:ea typeface="Arial"/>
              <a:cs typeface="Arial"/>
            </a:rPr>
            <a:t> values so computed is achieved by imposing the condition that these values must conform to the </a:t>
          </a:r>
          <a:r>
            <a:rPr lang="en-US" cap="none" sz="1000" b="1" i="0" u="none" baseline="0">
              <a:latin typeface="Arial"/>
              <a:ea typeface="Arial"/>
              <a:cs typeface="Arial"/>
            </a:rPr>
            <a:t>Plitt's Classification Efficiency</a:t>
          </a:r>
          <a:r>
            <a:rPr lang="en-US" cap="none" sz="1000" b="0" i="0" u="none" baseline="0">
              <a:latin typeface="Arial"/>
              <a:ea typeface="Arial"/>
              <a:cs typeface="Arial"/>
            </a:rPr>
            <a:t> curve : (see </a:t>
          </a:r>
          <a:r>
            <a:rPr lang="en-US" cap="none" sz="1000" b="1" i="0" u="none" baseline="0">
              <a:latin typeface="Arial"/>
              <a:ea typeface="Arial"/>
              <a:cs typeface="Arial"/>
            </a:rPr>
            <a:t>About ... in Cyclosim_Single</a:t>
          </a:r>
          <a:r>
            <a:rPr lang="en-US" cap="none" sz="1000" b="0" i="0" u="none" baseline="0">
              <a:latin typeface="Arial"/>
              <a:ea typeface="Arial"/>
              <a:cs typeface="Arial"/>
            </a:rPr>
            <a:t>)
                                                  </a:t>
          </a:r>
          <a:r>
            <a:rPr lang="en-US" cap="none" sz="1000" b="1" i="0" u="none" baseline="0">
              <a:latin typeface="Arial"/>
              <a:ea typeface="Arial"/>
              <a:cs typeface="Arial"/>
            </a:rPr>
            <a:t>E</a:t>
          </a:r>
          <a:r>
            <a:rPr lang="en-US" cap="none" sz="1000" b="1" i="0" u="none" baseline="-25000">
              <a:latin typeface="Arial"/>
              <a:ea typeface="Arial"/>
              <a:cs typeface="Arial"/>
            </a:rPr>
            <a:t>i</a:t>
          </a:r>
          <a:r>
            <a:rPr lang="en-US" cap="none" sz="1000" b="1" i="0" u="none" baseline="0">
              <a:latin typeface="Arial"/>
              <a:ea typeface="Arial"/>
              <a:cs typeface="Arial"/>
            </a:rPr>
            <a:t> = B</a:t>
          </a:r>
          <a:r>
            <a:rPr lang="en-US" cap="none" sz="1000" b="1" i="0" u="none" baseline="-25000">
              <a:latin typeface="Arial"/>
              <a:ea typeface="Arial"/>
              <a:cs typeface="Arial"/>
            </a:rPr>
            <a:t>pf</a:t>
          </a:r>
          <a:r>
            <a:rPr lang="en-US" cap="none" sz="1000" b="1" i="0" u="none" baseline="0">
              <a:latin typeface="Arial"/>
              <a:ea typeface="Arial"/>
              <a:cs typeface="Arial"/>
            </a:rPr>
            <a:t>  +  (1 - B</a:t>
          </a:r>
          <a:r>
            <a:rPr lang="en-US" cap="none" sz="1000" b="1" i="0" u="none" baseline="-25000">
              <a:latin typeface="Arial"/>
              <a:ea typeface="Arial"/>
              <a:cs typeface="Arial"/>
            </a:rPr>
            <a:t>pf</a:t>
          </a:r>
          <a:r>
            <a:rPr lang="en-US" cap="none" sz="1000" b="1" i="0" u="none" baseline="0">
              <a:latin typeface="Arial"/>
              <a:ea typeface="Arial"/>
              <a:cs typeface="Arial"/>
            </a:rPr>
            <a:t> ) (1 - exp [ - 0.693 (d</a:t>
          </a:r>
          <a:r>
            <a:rPr lang="en-US" cap="none" sz="1000" b="1" i="0" u="none" baseline="-25000">
              <a:latin typeface="Arial"/>
              <a:ea typeface="Arial"/>
              <a:cs typeface="Arial"/>
            </a:rPr>
            <a:t>i</a:t>
          </a:r>
          <a:r>
            <a:rPr lang="en-US" cap="none" sz="1000" b="1" i="0" u="none" baseline="0">
              <a:latin typeface="Arial"/>
              <a:ea typeface="Arial"/>
              <a:cs typeface="Arial"/>
            </a:rPr>
            <a:t>/d</a:t>
          </a:r>
          <a:r>
            <a:rPr lang="en-US" cap="none" sz="1000" b="1" i="0" u="none" baseline="-25000">
              <a:latin typeface="Arial"/>
              <a:ea typeface="Arial"/>
              <a:cs typeface="Arial"/>
            </a:rPr>
            <a:t>50</a:t>
          </a:r>
          <a:r>
            <a:rPr lang="en-US" cap="none" sz="1000" b="1" i="0" u="none" baseline="30000">
              <a:latin typeface="Arial"/>
              <a:ea typeface="Arial"/>
              <a:cs typeface="Arial"/>
            </a:rPr>
            <a:t>c</a:t>
          </a:r>
          <a:r>
            <a:rPr lang="en-US" cap="none" sz="1000" b="1" i="0" u="none" baseline="0">
              <a:latin typeface="Arial"/>
              <a:ea typeface="Arial"/>
              <a:cs typeface="Arial"/>
            </a:rPr>
            <a:t>)</a:t>
          </a:r>
          <a:r>
            <a:rPr lang="en-US" cap="none" sz="1000" b="1" i="0" u="none" baseline="30000">
              <a:latin typeface="Arial"/>
              <a:ea typeface="Arial"/>
              <a:cs typeface="Arial"/>
            </a:rPr>
            <a:t>m</a:t>
          </a:r>
          <a:r>
            <a:rPr lang="en-US" cap="none" sz="1000" b="1" i="0" u="none" baseline="0">
              <a:latin typeface="Arial"/>
              <a:ea typeface="Arial"/>
              <a:cs typeface="Arial"/>
            </a:rPr>
            <a:t> ])</a:t>
          </a:r>
          <a:r>
            <a:rPr lang="en-US" cap="none" sz="1000" b="0" i="0" u="none" baseline="0">
              <a:latin typeface="Arial"/>
              <a:ea typeface="Arial"/>
              <a:cs typeface="Arial"/>
            </a:rPr>
            <a:t> 
with the aid of the Excel Subroutine</a:t>
          </a:r>
          <a:r>
            <a:rPr lang="en-US" cap="none" sz="1000" b="1" i="0" u="none" baseline="0">
              <a:latin typeface="Arial"/>
              <a:ea typeface="Arial"/>
              <a:cs typeface="Arial"/>
            </a:rPr>
            <a:t> Solver</a:t>
          </a:r>
          <a:r>
            <a:rPr lang="en-US" cap="none" sz="1000" b="0" i="0" u="none" baseline="0">
              <a:latin typeface="Arial"/>
              <a:ea typeface="Arial"/>
              <a:cs typeface="Arial"/>
            </a:rPr>
            <a:t> to minimize a least-square error objective function with respect to parameters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Finally, the size distributions for the remaining streams of the circuit (fresh feed, mill feed and mill discharge) are calculated on the basis of the adjusted values so obtained.
</a:t>
          </a:r>
          <a:r>
            <a:rPr lang="en-US" cap="none" sz="1000" b="1" i="0" u="none" baseline="0">
              <a:solidFill>
                <a:srgbClr val="000080"/>
              </a:solidFill>
              <a:latin typeface="Arial"/>
              <a:ea typeface="Arial"/>
              <a:cs typeface="Arial"/>
            </a:rPr>
            <a:t>Data Input and Program Execution :</a:t>
          </a:r>
          <a:r>
            <a:rPr lang="en-US" cap="none" sz="1000" b="0" i="0" u="none" baseline="0">
              <a:latin typeface="Arial"/>
              <a:ea typeface="Arial"/>
              <a:cs typeface="Arial"/>
            </a:rPr>
            <a:t>
Most of the data required by the model must be defined in each corresponding unprotected </a:t>
          </a:r>
          <a:r>
            <a:rPr lang="en-US" cap="none" sz="1000" b="1" i="0" u="none" baseline="0">
              <a:latin typeface="Arial"/>
              <a:ea typeface="Arial"/>
              <a:cs typeface="Arial"/>
            </a:rPr>
            <a:t>white background cell</a:t>
          </a:r>
          <a:r>
            <a:rPr lang="en-US" cap="none" sz="1000" b="0" i="0" u="none" baseline="0">
              <a:latin typeface="Arial"/>
              <a:ea typeface="Arial"/>
              <a:cs typeface="Arial"/>
            </a:rPr>
            <a:t> - inside the red double-lined border - of the here attached </a:t>
          </a:r>
          <a:r>
            <a:rPr lang="en-US" cap="none" sz="1000" b="1" i="0" u="none" baseline="0">
              <a:latin typeface="Arial"/>
              <a:ea typeface="Arial"/>
              <a:cs typeface="Arial"/>
            </a:rPr>
            <a:t>Data_File</a:t>
          </a:r>
          <a:r>
            <a:rPr lang="en-US" cap="none" sz="1000" b="0" i="0" u="none" baseline="0">
              <a:latin typeface="Arial"/>
              <a:ea typeface="Arial"/>
              <a:cs typeface="Arial"/>
            </a:rPr>
            <a:t> worksheet. </a:t>
          </a:r>
          <a:r>
            <a:rPr lang="en-US" cap="none" sz="1000" b="1" i="0" u="none" baseline="0">
              <a:latin typeface="Arial"/>
              <a:ea typeface="Arial"/>
              <a:cs typeface="Arial"/>
            </a:rPr>
            <a:t>Gray background cells</a:t>
          </a:r>
          <a:r>
            <a:rPr lang="en-US" cap="none" sz="1000" b="0" i="0" u="none" baseline="0">
              <a:latin typeface="Arial"/>
              <a:ea typeface="Arial"/>
              <a:cs typeface="Arial"/>
            </a:rPr>
            <a:t> contain the results of the corresponding formula there defined and are protected to avoid any accidental editing.
The remaining information required to run the program is entered in the </a:t>
          </a:r>
          <a:r>
            <a:rPr lang="en-US" cap="none" sz="1000" b="1" i="0" u="none" baseline="0">
              <a:latin typeface="Arial"/>
              <a:ea typeface="Arial"/>
              <a:cs typeface="Arial"/>
            </a:rPr>
            <a:t>Control_Panel</a:t>
          </a:r>
          <a:r>
            <a:rPr lang="en-US" cap="none" sz="1000" b="0" i="0" u="none" baseline="0">
              <a:latin typeface="Arial"/>
              <a:ea typeface="Arial"/>
              <a:cs typeface="Arial"/>
            </a:rPr>
            <a:t> worksheet, where the user is requested to provide initial guesses of the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parameters (see </a:t>
          </a:r>
          <a:r>
            <a:rPr lang="en-US" cap="none" sz="1000" b="1" i="0" u="none" baseline="0">
              <a:latin typeface="Arial"/>
              <a:ea typeface="Arial"/>
              <a:cs typeface="Arial"/>
            </a:rPr>
            <a:t>About ...</a:t>
          </a:r>
          <a:r>
            <a:rPr lang="en-US" cap="none" sz="1000" b="0" i="0" u="none" baseline="0">
              <a:latin typeface="Arial"/>
              <a:ea typeface="Arial"/>
              <a:cs typeface="Arial"/>
            </a:rPr>
            <a:t> in </a:t>
          </a:r>
          <a:r>
            <a:rPr lang="en-US" cap="none" sz="1000" b="1" i="0" u="none" baseline="0">
              <a:latin typeface="Arial"/>
              <a:ea typeface="Arial"/>
              <a:cs typeface="Arial"/>
            </a:rPr>
            <a:t>Cyclosim_Single</a:t>
          </a:r>
          <a:r>
            <a:rPr lang="en-US" cap="none" sz="1000" b="0" i="0" u="none" baseline="0">
              <a:latin typeface="Arial"/>
              <a:ea typeface="Arial"/>
              <a:cs typeface="Arial"/>
            </a:rPr>
            <a:t>). The B</a:t>
          </a:r>
          <a:r>
            <a:rPr lang="en-US" cap="none" sz="1000" b="0" i="0" u="none" baseline="-25000">
              <a:latin typeface="Arial"/>
              <a:ea typeface="Arial"/>
              <a:cs typeface="Arial"/>
            </a:rPr>
            <a:t>pc</a:t>
          </a:r>
          <a:r>
            <a:rPr lang="en-US" cap="none" sz="1000" b="0" i="0" u="none" baseline="0">
              <a:latin typeface="Arial"/>
              <a:ea typeface="Arial"/>
              <a:cs typeface="Arial"/>
            </a:rPr>
            <a:t> parameter is rarely used and was incorporated to take into account the possible short-circuit of coarse particles to the overflow (as could be the case in highly pressurized cyclones). Finally, the user must specify the relative weighting factors for the various feed, underflow and overflow streams plus the relative weighting factors for the size distribution and percent solids measurements.
To run the program, select the objective function </a:t>
          </a:r>
          <a:r>
            <a:rPr lang="en-US" cap="none" sz="1000" b="1" i="0" u="none" baseline="0">
              <a:solidFill>
                <a:srgbClr val="FF0000"/>
              </a:solidFill>
              <a:latin typeface="Arial"/>
              <a:ea typeface="Arial"/>
              <a:cs typeface="Arial"/>
            </a:rPr>
            <a:t>Cell E23</a:t>
          </a:r>
          <a:r>
            <a:rPr lang="en-US" cap="none" sz="1000" b="0" i="0" u="none" baseline="0">
              <a:latin typeface="Arial"/>
              <a:ea typeface="Arial"/>
              <a:cs typeface="Arial"/>
            </a:rPr>
            <a:t> in </a:t>
          </a:r>
          <a:r>
            <a:rPr lang="en-US" cap="none" sz="1000" b="1" i="0" u="none" baseline="0">
              <a:latin typeface="Arial"/>
              <a:ea typeface="Arial"/>
              <a:cs typeface="Arial"/>
            </a:rPr>
            <a:t>Control_Panel</a:t>
          </a:r>
          <a:r>
            <a:rPr lang="en-US" cap="none" sz="1000" b="0" i="0" u="none" baseline="0">
              <a:latin typeface="Arial"/>
              <a:ea typeface="Arial"/>
              <a:cs typeface="Arial"/>
            </a:rPr>
            <a:t> and then, from the </a:t>
          </a:r>
          <a:r>
            <a:rPr lang="en-US" cap="none" sz="1000" b="1" i="0" u="none" baseline="0">
              <a:latin typeface="Arial"/>
              <a:ea typeface="Arial"/>
              <a:cs typeface="Arial"/>
            </a:rPr>
            <a:t>Tools Menu</a:t>
          </a:r>
          <a:r>
            <a:rPr lang="en-US" cap="none" sz="1000" b="0" i="0" u="none" baseline="0">
              <a:latin typeface="Arial"/>
              <a:ea typeface="Arial"/>
              <a:cs typeface="Arial"/>
            </a:rPr>
            <a:t>, select </a:t>
          </a:r>
          <a:r>
            <a:rPr lang="en-US" cap="none" sz="1000" b="1" i="0" u="none" baseline="0">
              <a:latin typeface="Arial"/>
              <a:ea typeface="Arial"/>
              <a:cs typeface="Arial"/>
            </a:rPr>
            <a:t>Solver ...</a:t>
          </a:r>
          <a:r>
            <a:rPr lang="en-US" cap="none" sz="1000" b="0" i="0" u="none" baseline="0">
              <a:latin typeface="Arial"/>
              <a:ea typeface="Arial"/>
              <a:cs typeface="Arial"/>
            </a:rPr>
            <a:t>, then </a:t>
          </a:r>
          <a:r>
            <a:rPr lang="en-US" cap="none" sz="1000" b="1" i="0" u="none" baseline="0">
              <a:latin typeface="Arial"/>
              <a:ea typeface="Arial"/>
              <a:cs typeface="Arial"/>
            </a:rPr>
            <a:t>Min</a:t>
          </a:r>
          <a:r>
            <a:rPr lang="en-US" cap="none" sz="1000" b="0" i="0" u="none" baseline="0">
              <a:latin typeface="Arial"/>
              <a:ea typeface="Arial"/>
              <a:cs typeface="Arial"/>
            </a:rPr>
            <a:t> and then </a:t>
          </a:r>
          <a:r>
            <a:rPr lang="en-US" cap="none" sz="1000" b="1" i="0" u="none" baseline="0">
              <a:latin typeface="Arial"/>
              <a:ea typeface="Arial"/>
              <a:cs typeface="Arial"/>
            </a:rPr>
            <a:t>By Changing </a:t>
          </a:r>
          <a:r>
            <a:rPr lang="en-US" cap="none" sz="1000" b="0" i="0" u="none" baseline="0">
              <a:latin typeface="Arial"/>
              <a:ea typeface="Arial"/>
              <a:cs typeface="Arial"/>
            </a:rPr>
            <a:t>any combination of </a:t>
          </a:r>
          <a:r>
            <a:rPr lang="en-US" cap="none" sz="1000" b="1" i="0" u="none" baseline="0">
              <a:solidFill>
                <a:srgbClr val="FF0000"/>
              </a:solidFill>
              <a:latin typeface="Arial"/>
              <a:ea typeface="Arial"/>
              <a:cs typeface="Arial"/>
            </a:rPr>
            <a:t>Cells C21:F21</a:t>
          </a:r>
          <a:r>
            <a:rPr lang="en-US" cap="none" sz="1000" b="0" i="0" u="none" baseline="0">
              <a:latin typeface="Arial"/>
              <a:ea typeface="Arial"/>
              <a:cs typeface="Arial"/>
            </a:rPr>
            <a:t>. Clicking on the </a:t>
          </a:r>
          <a:r>
            <a:rPr lang="en-US" cap="none" sz="1000" b="1" i="0" u="none" baseline="0">
              <a:latin typeface="Arial"/>
              <a:ea typeface="Arial"/>
              <a:cs typeface="Arial"/>
            </a:rPr>
            <a:t>Solve</a:t>
          </a:r>
          <a:r>
            <a:rPr lang="en-US" cap="none" sz="1000" b="0" i="0" u="none" baseline="0">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 </a:t>
          </a:r>
          <a:r>
            <a:rPr lang="en-US" cap="none" sz="1000" b="0" i="0" u="none" baseline="0">
              <a:latin typeface="Arial"/>
              <a:ea typeface="Arial"/>
              <a:cs typeface="Arial"/>
            </a:rPr>
            <a:t>Otherwise, the current outputs are not valid.
Calculation results are summarized in the </a:t>
          </a:r>
          <a:r>
            <a:rPr lang="en-US" cap="none" sz="1000" b="1" i="0" u="none" baseline="0">
              <a:latin typeface="Arial"/>
              <a:ea typeface="Arial"/>
              <a:cs typeface="Arial"/>
            </a:rPr>
            <a:t>Reports</a:t>
          </a:r>
          <a:r>
            <a:rPr lang="en-US" cap="none" sz="1000" b="0" i="0" u="none" baseline="0">
              <a:latin typeface="Arial"/>
              <a:ea typeface="Arial"/>
              <a:cs typeface="Arial"/>
            </a:rPr>
            <a:t> worksheet.
New</a:t>
          </a:r>
          <a:r>
            <a:rPr lang="en-US" cap="none" sz="1000" b="1" i="0" u="none" baseline="0">
              <a:latin typeface="Arial"/>
              <a:ea typeface="Arial"/>
              <a:cs typeface="Arial"/>
            </a:rPr>
            <a:t> Moly-Cop Tools</a:t>
          </a:r>
          <a:r>
            <a:rPr lang="en-US" cap="none" sz="1000" b="0" i="0" u="none" baseline="0">
              <a:latin typeface="Arial"/>
              <a:ea typeface="Arial"/>
              <a:cs typeface="Arial"/>
            </a:rPr>
            <a:t> users are invited to explore the brief comments inserted in each relevant cell, rendering the whole utilization of the worksheets self-explanatory. Eventually, the user may wish to remove the view of the comments by selecting </a:t>
          </a:r>
          <a:r>
            <a:rPr lang="en-US" cap="none" sz="1000" b="1" i="0" u="none" baseline="0">
              <a:latin typeface="Arial"/>
              <a:ea typeface="Arial"/>
              <a:cs typeface="Arial"/>
            </a:rPr>
            <a:t>Tools / Options / View / Comments / None</a:t>
          </a:r>
          <a:r>
            <a:rPr lang="en-US" cap="none" sz="1000" b="0" i="0" u="none" baseline="0">
              <a:latin typeface="Arial"/>
              <a:ea typeface="Arial"/>
              <a:cs typeface="Arial"/>
            </a:rPr>
            <a:t>.</a:t>
          </a:r>
          <a:r>
            <a:rPr lang="en-US" cap="none" sz="1000" b="1" i="0" u="none" baseline="0">
              <a:latin typeface="Arial"/>
              <a:ea typeface="Arial"/>
              <a:cs typeface="Arial"/>
            </a:rPr>
            <a:t>
</a:t>
          </a:r>
          <a:r>
            <a:rPr lang="en-US" cap="none" sz="1000" b="0" i="0" u="none" baseline="0">
              <a:latin typeface="Arial"/>
              <a:ea typeface="Arial"/>
              <a:cs typeface="Arial"/>
            </a:rPr>
            <a:t/>
          </a:r>
        </a:p>
      </xdr:txBody>
    </xdr:sp>
    <xdr:clientData/>
  </xdr:twoCellAnchor>
  <xdr:twoCellAnchor editAs="oneCell">
    <xdr:from>
      <xdr:col>9</xdr:col>
      <xdr:colOff>485775</xdr:colOff>
      <xdr:row>0</xdr:row>
      <xdr:rowOff>38100</xdr:rowOff>
    </xdr:from>
    <xdr:to>
      <xdr:col>12</xdr:col>
      <xdr:colOff>0</xdr:colOff>
      <xdr:row>2</xdr:row>
      <xdr:rowOff>114300</xdr:rowOff>
    </xdr:to>
    <xdr:pic>
      <xdr:nvPicPr>
        <xdr:cNvPr id="3" name="Picture 5"/>
        <xdr:cNvPicPr preferRelativeResize="1">
          <a:picLocks noChangeAspect="1"/>
        </xdr:cNvPicPr>
      </xdr:nvPicPr>
      <xdr:blipFill>
        <a:blip r:embed="rId1"/>
        <a:stretch>
          <a:fillRect/>
        </a:stretch>
      </xdr:blipFill>
      <xdr:spPr>
        <a:xfrm>
          <a:off x="5476875" y="38100"/>
          <a:ext cx="1343025" cy="400050"/>
        </a:xfrm>
        <a:prstGeom prst="rect">
          <a:avLst/>
        </a:prstGeom>
        <a:noFill/>
        <a:ln w="9525" cmpd="sng">
          <a:noFill/>
        </a:ln>
      </xdr:spPr>
    </xdr:pic>
    <xdr:clientData/>
  </xdr:twoCellAnchor>
  <xdr:twoCellAnchor editAs="oneCell">
    <xdr:from>
      <xdr:col>9</xdr:col>
      <xdr:colOff>485775</xdr:colOff>
      <xdr:row>55</xdr:row>
      <xdr:rowOff>28575</xdr:rowOff>
    </xdr:from>
    <xdr:to>
      <xdr:col>12</xdr:col>
      <xdr:colOff>0</xdr:colOff>
      <xdr:row>57</xdr:row>
      <xdr:rowOff>104775</xdr:rowOff>
    </xdr:to>
    <xdr:pic>
      <xdr:nvPicPr>
        <xdr:cNvPr id="4" name="Picture 6"/>
        <xdr:cNvPicPr preferRelativeResize="1">
          <a:picLocks noChangeAspect="1"/>
        </xdr:cNvPicPr>
      </xdr:nvPicPr>
      <xdr:blipFill>
        <a:blip r:embed="rId1"/>
        <a:stretch>
          <a:fillRect/>
        </a:stretch>
      </xdr:blipFill>
      <xdr:spPr>
        <a:xfrm>
          <a:off x="5476875" y="8934450"/>
          <a:ext cx="1343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sp>
      <xdr:nvSpPr>
        <xdr:cNvPr id="1" name="Rectangle 2"/>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9</xdr:col>
      <xdr:colOff>0</xdr:colOff>
      <xdr:row>0</xdr:row>
      <xdr:rowOff>0</xdr:rowOff>
    </xdr:to>
    <xdr:sp>
      <xdr:nvSpPr>
        <xdr:cNvPr id="2" name="Rectangle 3"/>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5</xdr:row>
      <xdr:rowOff>19050</xdr:rowOff>
    </xdr:from>
    <xdr:to>
      <xdr:col>15</xdr:col>
      <xdr:colOff>409575</xdr:colOff>
      <xdr:row>28</xdr:row>
      <xdr:rowOff>38100</xdr:rowOff>
    </xdr:to>
    <xdr:graphicFrame>
      <xdr:nvGraphicFramePr>
        <xdr:cNvPr id="3" name="Chart 4"/>
        <xdr:cNvGraphicFramePr/>
      </xdr:nvGraphicFramePr>
      <xdr:xfrm>
        <a:off x="2790825" y="952500"/>
        <a:ext cx="5534025" cy="374332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114300</xdr:colOff>
      <xdr:row>1</xdr:row>
      <xdr:rowOff>95250</xdr:rowOff>
    </xdr:from>
    <xdr:to>
      <xdr:col>16</xdr:col>
      <xdr:colOff>47625</xdr:colOff>
      <xdr:row>2</xdr:row>
      <xdr:rowOff>104775</xdr:rowOff>
    </xdr:to>
    <xdr:pic>
      <xdr:nvPicPr>
        <xdr:cNvPr id="4" name="Picture 17"/>
        <xdr:cNvPicPr preferRelativeResize="1">
          <a:picLocks noChangeAspect="1"/>
        </xdr:cNvPicPr>
      </xdr:nvPicPr>
      <xdr:blipFill>
        <a:blip r:embed="rId2"/>
        <a:stretch>
          <a:fillRect/>
        </a:stretch>
      </xdr:blipFill>
      <xdr:spPr>
        <a:xfrm>
          <a:off x="7448550" y="190500"/>
          <a:ext cx="109537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352425</xdr:colOff>
      <xdr:row>1</xdr:row>
      <xdr:rowOff>95250</xdr:rowOff>
    </xdr:from>
    <xdr:to>
      <xdr:col>21</xdr:col>
      <xdr:colOff>19050</xdr:colOff>
      <xdr:row>2</xdr:row>
      <xdr:rowOff>142875</xdr:rowOff>
    </xdr:to>
    <xdr:pic>
      <xdr:nvPicPr>
        <xdr:cNvPr id="1" name="Picture 41"/>
        <xdr:cNvPicPr preferRelativeResize="1">
          <a:picLocks noChangeAspect="1"/>
        </xdr:cNvPicPr>
      </xdr:nvPicPr>
      <xdr:blipFill>
        <a:blip r:embed="rId1"/>
        <a:stretch>
          <a:fillRect/>
        </a:stretch>
      </xdr:blipFill>
      <xdr:spPr>
        <a:xfrm>
          <a:off x="12725400" y="190500"/>
          <a:ext cx="10953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9</xdr:row>
      <xdr:rowOff>152400</xdr:rowOff>
    </xdr:from>
    <xdr:to>
      <xdr:col>6</xdr:col>
      <xdr:colOff>38100</xdr:colOff>
      <xdr:row>15</xdr:row>
      <xdr:rowOff>66675</xdr:rowOff>
    </xdr:to>
    <xdr:grpSp>
      <xdr:nvGrpSpPr>
        <xdr:cNvPr id="1" name="Group 1"/>
        <xdr:cNvGrpSpPr>
          <a:grpSpLocks/>
        </xdr:cNvGrpSpPr>
      </xdr:nvGrpSpPr>
      <xdr:grpSpPr>
        <a:xfrm>
          <a:off x="2143125" y="1628775"/>
          <a:ext cx="561975" cy="904875"/>
          <a:chOff x="225" y="178"/>
          <a:chExt cx="59" cy="93"/>
        </a:xfrm>
        <a:solidFill>
          <a:srgbClr val="FFFFFF"/>
        </a:solidFill>
      </xdr:grpSpPr>
      <xdr:sp>
        <xdr:nvSpPr>
          <xdr:cNvPr id="2" name="AutoShape 2"/>
          <xdr:cNvSpPr>
            <a:spLocks/>
          </xdr:cNvSpPr>
        </xdr:nvSpPr>
        <xdr:spPr>
          <a:xfrm>
            <a:off x="231" y="194"/>
            <a:ext cx="37" cy="1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3"/>
          <xdr:cNvGrpSpPr>
            <a:grpSpLocks/>
          </xdr:cNvGrpSpPr>
        </xdr:nvGrpSpPr>
        <xdr:grpSpPr>
          <a:xfrm>
            <a:off x="225" y="190"/>
            <a:ext cx="49" cy="3"/>
            <a:chOff x="1071" y="1288"/>
            <a:chExt cx="384" cy="26"/>
          </a:xfrm>
          <a:solidFill>
            <a:srgbClr val="FFFFFF"/>
          </a:solidFill>
        </xdr:grpSpPr>
        <xdr:sp>
          <xdr:nvSpPr>
            <xdr:cNvPr id="4" name="AutoShape 4"/>
            <xdr:cNvSpPr>
              <a:spLocks/>
            </xdr:cNvSpPr>
          </xdr:nvSpPr>
          <xdr:spPr>
            <a:xfrm>
              <a:off x="1079" y="1288"/>
              <a:ext cx="370"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flipH="1">
              <a:off x="1071" y="1302"/>
              <a:ext cx="3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6" name="Group 6"/>
          <xdr:cNvGrpSpPr>
            <a:grpSpLocks/>
          </xdr:cNvGrpSpPr>
        </xdr:nvGrpSpPr>
        <xdr:grpSpPr>
          <a:xfrm>
            <a:off x="225" y="211"/>
            <a:ext cx="49" cy="3"/>
            <a:chOff x="1071" y="1449"/>
            <a:chExt cx="384" cy="26"/>
          </a:xfrm>
          <a:solidFill>
            <a:srgbClr val="FFFFFF"/>
          </a:solidFill>
        </xdr:grpSpPr>
        <xdr:sp>
          <xdr:nvSpPr>
            <xdr:cNvPr id="7" name="AutoShape 7"/>
            <xdr:cNvSpPr>
              <a:spLocks/>
            </xdr:cNvSpPr>
          </xdr:nvSpPr>
          <xdr:spPr>
            <a:xfrm>
              <a:off x="1079" y="1449"/>
              <a:ext cx="370" cy="26"/>
            </a:xfrm>
            <a:prstGeom prst="rect">
              <a:avLst/>
            </a:pr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flipH="1">
              <a:off x="1071" y="1463"/>
              <a:ext cx="3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 name="Group 9"/>
          <xdr:cNvGrpSpPr>
            <a:grpSpLocks/>
          </xdr:cNvGrpSpPr>
        </xdr:nvGrpSpPr>
        <xdr:grpSpPr>
          <a:xfrm>
            <a:off x="237" y="263"/>
            <a:ext cx="25" cy="3"/>
            <a:chOff x="1167" y="1840"/>
            <a:chExt cx="192" cy="26"/>
          </a:xfrm>
          <a:solidFill>
            <a:srgbClr val="FFFFFF"/>
          </a:solidFill>
        </xdr:grpSpPr>
        <xdr:sp>
          <xdr:nvSpPr>
            <xdr:cNvPr id="10" name="AutoShape 10"/>
            <xdr:cNvSpPr>
              <a:spLocks/>
            </xdr:cNvSpPr>
          </xdr:nvSpPr>
          <xdr:spPr>
            <a:xfrm>
              <a:off x="1175" y="1840"/>
              <a:ext cx="177"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flipH="1">
              <a:off x="1167" y="1854"/>
              <a:ext cx="19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2" name="AutoShape 12"/>
          <xdr:cNvSpPr>
            <a:spLocks/>
          </xdr:cNvSpPr>
        </xdr:nvSpPr>
        <xdr:spPr>
          <a:xfrm rot="10800000" flipH="1" flipV="1">
            <a:off x="231" y="215"/>
            <a:ext cx="37" cy="47"/>
          </a:xfrm>
          <a:prstGeom prst="trapezoid">
            <a:avLst>
              <a:gd name="adj" fmla="val -25004"/>
            </a:avLst>
          </a:pr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283" y="193"/>
            <a:ext cx="1" cy="13"/>
          </a:xfrm>
          <a:prstGeom prst="rect">
            <a:avLst/>
          </a:prstGeom>
          <a:gradFill rotWithShape="1">
            <a:gsLst>
              <a:gs pos="0">
                <a:srgbClr val="00279F"/>
              </a:gs>
              <a:gs pos="50000">
                <a:srgbClr val="4C67BB"/>
              </a:gs>
              <a:gs pos="100000">
                <a:srgbClr val="00279F"/>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268" y="195"/>
            <a:ext cx="14" cy="9"/>
          </a:xfrm>
          <a:prstGeom prst="rect">
            <a:avLst/>
          </a:prstGeom>
          <a:gradFill rotWithShape="1">
            <a:gsLst>
              <a:gs pos="0">
                <a:srgbClr val="00279F"/>
              </a:gs>
              <a:gs pos="50000">
                <a:srgbClr val="4C67BB"/>
              </a:gs>
              <a:gs pos="100000">
                <a:srgbClr val="00279F"/>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241" y="266"/>
            <a:ext cx="17" cy="5"/>
          </a:xfrm>
          <a:prstGeom prst="rect">
            <a:avLst/>
          </a:prstGeom>
          <a:gradFill rotWithShape="1">
            <a:gsLst>
              <a:gs pos="0">
                <a:srgbClr val="00279F"/>
              </a:gs>
              <a:gs pos="50000">
                <a:srgbClr val="4C67BB"/>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239" y="180"/>
            <a:ext cx="21" cy="9"/>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237" y="178"/>
            <a:ext cx="25" cy="1"/>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114300</xdr:colOff>
      <xdr:row>18</xdr:row>
      <xdr:rowOff>152400</xdr:rowOff>
    </xdr:from>
    <xdr:to>
      <xdr:col>7</xdr:col>
      <xdr:colOff>323850</xdr:colOff>
      <xdr:row>18</xdr:row>
      <xdr:rowOff>152400</xdr:rowOff>
    </xdr:to>
    <xdr:sp>
      <xdr:nvSpPr>
        <xdr:cNvPr id="18" name="AutoShape 18"/>
        <xdr:cNvSpPr>
          <a:spLocks/>
        </xdr:cNvSpPr>
      </xdr:nvSpPr>
      <xdr:spPr>
        <a:xfrm>
          <a:off x="1562100" y="3105150"/>
          <a:ext cx="2038350"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16</xdr:row>
      <xdr:rowOff>9525</xdr:rowOff>
    </xdr:from>
    <xdr:to>
      <xdr:col>5</xdr:col>
      <xdr:colOff>323850</xdr:colOff>
      <xdr:row>18</xdr:row>
      <xdr:rowOff>142875</xdr:rowOff>
    </xdr:to>
    <xdr:sp>
      <xdr:nvSpPr>
        <xdr:cNvPr id="19" name="AutoShape 19"/>
        <xdr:cNvSpPr>
          <a:spLocks/>
        </xdr:cNvSpPr>
      </xdr:nvSpPr>
      <xdr:spPr>
        <a:xfrm>
          <a:off x="2381250" y="2638425"/>
          <a:ext cx="0" cy="4572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23</xdr:row>
      <xdr:rowOff>0</xdr:rowOff>
    </xdr:from>
    <xdr:to>
      <xdr:col>11</xdr:col>
      <xdr:colOff>409575</xdr:colOff>
      <xdr:row>26</xdr:row>
      <xdr:rowOff>76200</xdr:rowOff>
    </xdr:to>
    <xdr:grpSp>
      <xdr:nvGrpSpPr>
        <xdr:cNvPr id="20" name="Group 20"/>
        <xdr:cNvGrpSpPr>
          <a:grpSpLocks/>
        </xdr:cNvGrpSpPr>
      </xdr:nvGrpSpPr>
      <xdr:grpSpPr>
        <a:xfrm>
          <a:off x="5172075" y="3800475"/>
          <a:ext cx="952500" cy="561975"/>
          <a:chOff x="3556" y="2856"/>
          <a:chExt cx="775" cy="444"/>
        </a:xfrm>
        <a:solidFill>
          <a:srgbClr val="FFFFFF"/>
        </a:solidFill>
      </xdr:grpSpPr>
      <xdr:grpSp>
        <xdr:nvGrpSpPr>
          <xdr:cNvPr id="21" name="Group 21"/>
          <xdr:cNvGrpSpPr>
            <a:grpSpLocks/>
          </xdr:cNvGrpSpPr>
        </xdr:nvGrpSpPr>
        <xdr:grpSpPr>
          <a:xfrm>
            <a:off x="3556" y="2856"/>
            <a:ext cx="775" cy="440"/>
            <a:chOff x="3556" y="2856"/>
            <a:chExt cx="775" cy="440"/>
          </a:xfrm>
          <a:solidFill>
            <a:srgbClr val="FFFFFF"/>
          </a:solidFill>
        </xdr:grpSpPr>
        <xdr:sp>
          <xdr:nvSpPr>
            <xdr:cNvPr id="22" name="AutoShape 22"/>
            <xdr:cNvSpPr>
              <a:spLocks/>
            </xdr:cNvSpPr>
          </xdr:nvSpPr>
          <xdr:spPr>
            <a:xfrm>
              <a:off x="3575" y="2892"/>
              <a:ext cx="742" cy="388"/>
            </a:xfrm>
            <a:prstGeom prst="rect">
              <a:avLst/>
            </a:prstGeom>
            <a:solidFill>
              <a:srgbClr val="CECECE"/>
            </a:solidFill>
            <a:ln w="12700" cmpd="sng">
              <a:solidFill>
                <a:srgbClr val="91919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3556" y="2860"/>
              <a:ext cx="0" cy="436"/>
            </a:xfrm>
            <a:prstGeom prst="line">
              <a:avLst/>
            </a:prstGeom>
            <a:noFill/>
            <a:ln w="50800" cmpd="sng">
              <a:solidFill>
                <a:srgbClr val="91919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331" y="2856"/>
              <a:ext cx="0" cy="428"/>
            </a:xfrm>
            <a:prstGeom prst="line">
              <a:avLst/>
            </a:prstGeom>
            <a:noFill/>
            <a:ln w="50800" cmpd="sng">
              <a:solidFill>
                <a:srgbClr val="91919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3688" y="2928"/>
              <a:ext cx="524" cy="0"/>
            </a:xfrm>
            <a:prstGeom prst="line">
              <a:avLst/>
            </a:prstGeom>
            <a:noFill/>
            <a:ln w="12700" cmpd="sng">
              <a:solidFill>
                <a:srgbClr val="91919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6" name="AutoShape 26"/>
          <xdr:cNvSpPr>
            <a:spLocks/>
          </xdr:cNvSpPr>
        </xdr:nvSpPr>
        <xdr:spPr>
          <a:xfrm>
            <a:off x="3568" y="3300"/>
            <a:ext cx="760" cy="0"/>
          </a:xfrm>
          <a:prstGeom prst="line">
            <a:avLst/>
          </a:prstGeom>
          <a:noFill/>
          <a:ln w="50800" cmpd="sng">
            <a:solidFill>
              <a:srgbClr val="91919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381000</xdr:colOff>
      <xdr:row>15</xdr:row>
      <xdr:rowOff>76200</xdr:rowOff>
    </xdr:from>
    <xdr:to>
      <xdr:col>10</xdr:col>
      <xdr:colOff>333375</xdr:colOff>
      <xdr:row>22</xdr:row>
      <xdr:rowOff>104775</xdr:rowOff>
    </xdr:to>
    <xdr:grpSp>
      <xdr:nvGrpSpPr>
        <xdr:cNvPr id="27" name="Group 27"/>
        <xdr:cNvGrpSpPr>
          <a:grpSpLocks/>
        </xdr:cNvGrpSpPr>
      </xdr:nvGrpSpPr>
      <xdr:grpSpPr>
        <a:xfrm>
          <a:off x="3657600" y="2543175"/>
          <a:ext cx="1781175" cy="1200150"/>
          <a:chOff x="384" y="272"/>
          <a:chExt cx="187" cy="122"/>
        </a:xfrm>
        <a:solidFill>
          <a:srgbClr val="FFFFFF"/>
        </a:solidFill>
      </xdr:grpSpPr>
      <xdr:sp>
        <xdr:nvSpPr>
          <xdr:cNvPr id="28" name="AutoShape 28"/>
          <xdr:cNvSpPr>
            <a:spLocks/>
          </xdr:cNvSpPr>
        </xdr:nvSpPr>
        <xdr:spPr>
          <a:xfrm>
            <a:off x="411" y="286"/>
            <a:ext cx="100" cy="92"/>
          </a:xfrm>
          <a:prstGeom prst="rect">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9" name="Group 29"/>
          <xdr:cNvGrpSpPr>
            <a:grpSpLocks/>
          </xdr:cNvGrpSpPr>
        </xdr:nvGrpSpPr>
        <xdr:grpSpPr>
          <a:xfrm>
            <a:off x="410" y="279"/>
            <a:ext cx="9" cy="106"/>
            <a:chOff x="2520" y="1958"/>
            <a:chExt cx="71" cy="784"/>
          </a:xfrm>
          <a:solidFill>
            <a:srgbClr val="FFFFFF"/>
          </a:solidFill>
        </xdr:grpSpPr>
        <xdr:sp>
          <xdr:nvSpPr>
            <xdr:cNvPr id="30" name="AutoShape 30"/>
            <xdr:cNvSpPr>
              <a:spLocks/>
            </xdr:cNvSpPr>
          </xdr:nvSpPr>
          <xdr:spPr>
            <a:xfrm>
              <a:off x="2520" y="1966"/>
              <a:ext cx="71" cy="771"/>
            </a:xfrm>
            <a:prstGeom prst="rect">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flipV="1">
              <a:off x="2558" y="1958"/>
              <a:ext cx="0" cy="784"/>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32" name="Group 32"/>
          <xdr:cNvGrpSpPr>
            <a:grpSpLocks/>
          </xdr:cNvGrpSpPr>
        </xdr:nvGrpSpPr>
        <xdr:grpSpPr>
          <a:xfrm>
            <a:off x="512" y="279"/>
            <a:ext cx="9" cy="105"/>
            <a:chOff x="3312" y="1962"/>
            <a:chExt cx="71" cy="777"/>
          </a:xfrm>
          <a:solidFill>
            <a:srgbClr val="FFFFFF"/>
          </a:solidFill>
        </xdr:grpSpPr>
        <xdr:sp>
          <xdr:nvSpPr>
            <xdr:cNvPr id="33" name="AutoShape 33"/>
            <xdr:cNvSpPr>
              <a:spLocks/>
            </xdr:cNvSpPr>
          </xdr:nvSpPr>
          <xdr:spPr>
            <a:xfrm>
              <a:off x="3312" y="1970"/>
              <a:ext cx="71" cy="764"/>
            </a:xfrm>
            <a:prstGeom prst="rect">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flipV="1">
              <a:off x="3350" y="1962"/>
              <a:ext cx="0" cy="77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35" name="AutoShape 35"/>
          <xdr:cNvSpPr>
            <a:spLocks/>
          </xdr:cNvSpPr>
        </xdr:nvSpPr>
        <xdr:spPr>
          <a:xfrm rot="5400000" flipV="1">
            <a:off x="485" y="324"/>
            <a:ext cx="91" cy="16"/>
          </a:xfrm>
          <a:prstGeom prst="trapezoid">
            <a:avLst>
              <a:gd name="adj" fmla="val -24356"/>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539" y="309"/>
            <a:ext cx="32" cy="46"/>
          </a:xfrm>
          <a:prstGeom prst="rect">
            <a:avLst/>
          </a:prstGeom>
          <a:pattFill prst="pct75">
            <a:fgClr>
              <a:srgbClr val="000000"/>
            </a:fgClr>
            <a:bgClr>
              <a:srgbClr val="00B7A5"/>
            </a:bgClr>
          </a:patt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384" y="303"/>
            <a:ext cx="10" cy="59"/>
          </a:xfrm>
          <a:prstGeom prst="rect">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rot="16200000" flipH="1" flipV="1">
            <a:off x="394" y="287"/>
            <a:ext cx="16" cy="91"/>
          </a:xfrm>
          <a:prstGeom prst="trapezoid">
            <a:avLst>
              <a:gd name="adj" fmla="val -33097"/>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a:off x="426" y="272"/>
            <a:ext cx="19" cy="122"/>
          </a:xfrm>
          <a:prstGeom prst="rect">
            <a:avLst/>
          </a:prstGeom>
          <a:gradFill rotWithShape="1">
            <a:gsLst>
              <a:gs pos="0">
                <a:srgbClr val="003630"/>
              </a:gs>
              <a:gs pos="50000">
                <a:srgbClr val="00B7A5"/>
              </a:gs>
              <a:gs pos="100000">
                <a:srgbClr val="003630"/>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209550</xdr:colOff>
      <xdr:row>20</xdr:row>
      <xdr:rowOff>114300</xdr:rowOff>
    </xdr:from>
    <xdr:to>
      <xdr:col>10</xdr:col>
      <xdr:colOff>209550</xdr:colOff>
      <xdr:row>22</xdr:row>
      <xdr:rowOff>123825</xdr:rowOff>
    </xdr:to>
    <xdr:sp>
      <xdr:nvSpPr>
        <xdr:cNvPr id="40" name="AutoShape 40"/>
        <xdr:cNvSpPr>
          <a:spLocks/>
        </xdr:cNvSpPr>
      </xdr:nvSpPr>
      <xdr:spPr>
        <a:xfrm>
          <a:off x="5314950" y="3409950"/>
          <a:ext cx="0" cy="35242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219075</xdr:colOff>
      <xdr:row>20</xdr:row>
      <xdr:rowOff>152400</xdr:rowOff>
    </xdr:from>
    <xdr:to>
      <xdr:col>12</xdr:col>
      <xdr:colOff>257175</xdr:colOff>
      <xdr:row>22</xdr:row>
      <xdr:rowOff>142875</xdr:rowOff>
    </xdr:to>
    <xdr:sp>
      <xdr:nvSpPr>
        <xdr:cNvPr id="41" name="AutoShape 41"/>
        <xdr:cNvSpPr>
          <a:spLocks/>
        </xdr:cNvSpPr>
      </xdr:nvSpPr>
      <xdr:spPr>
        <a:xfrm>
          <a:off x="5934075" y="3448050"/>
          <a:ext cx="647700" cy="333375"/>
        </a:xfrm>
        <a:custGeom>
          <a:pathLst>
            <a:path h="245" w="529">
              <a:moveTo>
                <a:pt x="528" y="0"/>
              </a:moveTo>
              <a:lnTo>
                <a:pt x="0" y="0"/>
              </a:lnTo>
              <a:lnTo>
                <a:pt x="0" y="244"/>
              </a:lnTo>
            </a:path>
          </a:pathLst>
        </a:cu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8</xdr:row>
      <xdr:rowOff>0</xdr:rowOff>
    </xdr:from>
    <xdr:to>
      <xdr:col>8</xdr:col>
      <xdr:colOff>238125</xdr:colOff>
      <xdr:row>9</xdr:row>
      <xdr:rowOff>85725</xdr:rowOff>
    </xdr:to>
    <xdr:sp>
      <xdr:nvSpPr>
        <xdr:cNvPr id="42" name="AutoShape 42"/>
        <xdr:cNvSpPr>
          <a:spLocks/>
        </xdr:cNvSpPr>
      </xdr:nvSpPr>
      <xdr:spPr>
        <a:xfrm>
          <a:off x="2371725" y="1314450"/>
          <a:ext cx="1752600" cy="247650"/>
        </a:xfrm>
        <a:custGeom>
          <a:pathLst>
            <a:path h="193" w="1429">
              <a:moveTo>
                <a:pt x="0" y="192"/>
              </a:moveTo>
              <a:lnTo>
                <a:pt x="0" y="0"/>
              </a:lnTo>
              <a:lnTo>
                <a:pt x="1428" y="0"/>
              </a:lnTo>
            </a:path>
          </a:pathLst>
        </a:cu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11</xdr:row>
      <xdr:rowOff>28575</xdr:rowOff>
    </xdr:from>
    <xdr:to>
      <xdr:col>13</xdr:col>
      <xdr:colOff>276225</xdr:colOff>
      <xdr:row>28</xdr:row>
      <xdr:rowOff>19050</xdr:rowOff>
    </xdr:to>
    <xdr:grpSp>
      <xdr:nvGrpSpPr>
        <xdr:cNvPr id="43" name="Group 43"/>
        <xdr:cNvGrpSpPr>
          <a:grpSpLocks/>
        </xdr:cNvGrpSpPr>
      </xdr:nvGrpSpPr>
      <xdr:grpSpPr>
        <a:xfrm>
          <a:off x="2771775" y="1828800"/>
          <a:ext cx="4438650" cy="2800350"/>
          <a:chOff x="291" y="199"/>
          <a:chExt cx="466" cy="288"/>
        </a:xfrm>
        <a:solidFill>
          <a:srgbClr val="FFFFFF"/>
        </a:solidFill>
      </xdr:grpSpPr>
      <xdr:sp>
        <xdr:nvSpPr>
          <xdr:cNvPr id="44" name="Line 44"/>
          <xdr:cNvSpPr>
            <a:spLocks/>
          </xdr:cNvSpPr>
        </xdr:nvSpPr>
        <xdr:spPr>
          <a:xfrm>
            <a:off x="291" y="199"/>
            <a:ext cx="465" cy="0"/>
          </a:xfrm>
          <a:prstGeom prst="line">
            <a:avLst/>
          </a:prstGeom>
          <a:noFill/>
          <a:ln w="317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a:off x="755" y="199"/>
            <a:ext cx="0" cy="287"/>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a:off x="596" y="486"/>
            <a:ext cx="161"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a:off x="596" y="461"/>
            <a:ext cx="0" cy="26"/>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xdr:colOff>
      <xdr:row>20</xdr:row>
      <xdr:rowOff>76200</xdr:rowOff>
    </xdr:from>
    <xdr:to>
      <xdr:col>7</xdr:col>
      <xdr:colOff>323850</xdr:colOff>
      <xdr:row>20</xdr:row>
      <xdr:rowOff>76200</xdr:rowOff>
    </xdr:to>
    <xdr:sp>
      <xdr:nvSpPr>
        <xdr:cNvPr id="48" name="AutoShape 48"/>
        <xdr:cNvSpPr>
          <a:spLocks/>
        </xdr:cNvSpPr>
      </xdr:nvSpPr>
      <xdr:spPr>
        <a:xfrm rot="5400000" flipV="1">
          <a:off x="3314700" y="3371850"/>
          <a:ext cx="285750"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12</xdr:col>
      <xdr:colOff>104775</xdr:colOff>
      <xdr:row>1</xdr:row>
      <xdr:rowOff>85725</xdr:rowOff>
    </xdr:from>
    <xdr:to>
      <xdr:col>14</xdr:col>
      <xdr:colOff>28575</xdr:colOff>
      <xdr:row>2</xdr:row>
      <xdr:rowOff>104775</xdr:rowOff>
    </xdr:to>
    <xdr:pic>
      <xdr:nvPicPr>
        <xdr:cNvPr id="49" name="Picture 49"/>
        <xdr:cNvPicPr preferRelativeResize="1">
          <a:picLocks noChangeAspect="1"/>
        </xdr:cNvPicPr>
      </xdr:nvPicPr>
      <xdr:blipFill>
        <a:blip r:embed="rId1"/>
        <a:stretch>
          <a:fillRect/>
        </a:stretch>
      </xdr:blipFill>
      <xdr:spPr>
        <a:xfrm>
          <a:off x="6429375" y="180975"/>
          <a:ext cx="11430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495300</xdr:colOff>
      <xdr:row>1</xdr:row>
      <xdr:rowOff>142875</xdr:rowOff>
    </xdr:to>
    <xdr:pic>
      <xdr:nvPicPr>
        <xdr:cNvPr id="1" name="Picture 1"/>
        <xdr:cNvPicPr preferRelativeResize="1">
          <a:picLocks noChangeAspect="1"/>
        </xdr:cNvPicPr>
      </xdr:nvPicPr>
      <xdr:blipFill>
        <a:blip r:embed="rId1"/>
        <a:stretch>
          <a:fillRect/>
        </a:stretch>
      </xdr:blipFill>
      <xdr:spPr>
        <a:xfrm>
          <a:off x="647700" y="57150"/>
          <a:ext cx="1143000" cy="333375"/>
        </a:xfrm>
        <a:prstGeom prst="rect">
          <a:avLst/>
        </a:prstGeom>
        <a:noFill/>
        <a:ln w="9525" cmpd="sng">
          <a:noFill/>
        </a:ln>
      </xdr:spPr>
    </xdr:pic>
    <xdr:clientData/>
  </xdr:twoCellAnchor>
  <xdr:twoCellAnchor editAs="oneCell">
    <xdr:from>
      <xdr:col>1</xdr:col>
      <xdr:colOff>0</xdr:colOff>
      <xdr:row>48</xdr:row>
      <xdr:rowOff>57150</xdr:rowOff>
    </xdr:from>
    <xdr:to>
      <xdr:col>2</xdr:col>
      <xdr:colOff>447675</xdr:colOff>
      <xdr:row>49</xdr:row>
      <xdr:rowOff>133350</xdr:rowOff>
    </xdr:to>
    <xdr:pic>
      <xdr:nvPicPr>
        <xdr:cNvPr id="2" name="Picture 2"/>
        <xdr:cNvPicPr preferRelativeResize="1">
          <a:picLocks noChangeAspect="1"/>
        </xdr:cNvPicPr>
      </xdr:nvPicPr>
      <xdr:blipFill>
        <a:blip r:embed="rId1"/>
        <a:stretch>
          <a:fillRect/>
        </a:stretch>
      </xdr:blipFill>
      <xdr:spPr>
        <a:xfrm>
          <a:off x="647700" y="8162925"/>
          <a:ext cx="1095375" cy="323850"/>
        </a:xfrm>
        <a:prstGeom prst="rect">
          <a:avLst/>
        </a:prstGeom>
        <a:noFill/>
        <a:ln w="9525" cmpd="sng">
          <a:noFill/>
        </a:ln>
      </xdr:spPr>
    </xdr:pic>
    <xdr:clientData/>
  </xdr:twoCellAnchor>
  <xdr:twoCellAnchor editAs="oneCell">
    <xdr:from>
      <xdr:col>1</xdr:col>
      <xdr:colOff>0</xdr:colOff>
      <xdr:row>100</xdr:row>
      <xdr:rowOff>57150</xdr:rowOff>
    </xdr:from>
    <xdr:to>
      <xdr:col>2</xdr:col>
      <xdr:colOff>447675</xdr:colOff>
      <xdr:row>101</xdr:row>
      <xdr:rowOff>133350</xdr:rowOff>
    </xdr:to>
    <xdr:pic>
      <xdr:nvPicPr>
        <xdr:cNvPr id="3" name="Picture 3"/>
        <xdr:cNvPicPr preferRelativeResize="1">
          <a:picLocks noChangeAspect="1"/>
        </xdr:cNvPicPr>
      </xdr:nvPicPr>
      <xdr:blipFill>
        <a:blip r:embed="rId1"/>
        <a:stretch>
          <a:fillRect/>
        </a:stretch>
      </xdr:blipFill>
      <xdr:spPr>
        <a:xfrm>
          <a:off x="647700" y="16849725"/>
          <a:ext cx="109537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d_Mill%20Siz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llsim_Di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Data_File"/>
      <sheetName val="Reports"/>
      <sheetName val="SiE"/>
      <sheetName val="Bij"/>
      <sheetName val="J&amp;T"/>
      <sheetName val="C"/>
      <sheetName val="Mill"/>
      <sheetName val="About ..."/>
      <sheetName val="Flowsheet"/>
    </sheetNames>
    <sheetDataSet>
      <sheetData sheetId="5">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0.5054031296267676</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0.05583347636202596</v>
          </cell>
          <cell r="C37">
            <v>0.3088376766366381</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0.03351001868597181</v>
          </cell>
          <cell r="C38">
            <v>0.18535754872080012</v>
          </cell>
          <cell r="D38">
            <v>0.37805409258591127</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0.019756693871705533</v>
          </cell>
          <cell r="C39">
            <v>0.08736219877006463</v>
          </cell>
          <cell r="D39">
            <v>0.178183392099534</v>
          </cell>
          <cell r="E39">
            <v>0.48259207519762937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0.06690769991845036</v>
          </cell>
          <cell r="C40">
            <v>0.009621224311603449</v>
          </cell>
          <cell r="D40">
            <v>0.01962338869817276</v>
          </cell>
          <cell r="E40">
            <v>0.05314800533694447</v>
          </cell>
          <cell r="F40">
            <v>0.29316694363497153</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0.07448134600578682</v>
          </cell>
          <cell r="C41">
            <v>0.009924972016569833</v>
          </cell>
          <cell r="D41">
            <v>0.01187528251392772</v>
          </cell>
          <cell r="E41">
            <v>0.032163026892838564</v>
          </cell>
          <cell r="F41">
            <v>0.17741279719614345</v>
          </cell>
          <cell r="G41">
            <v>0.3602390882276957</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0.04218462104248222</v>
          </cell>
          <cell r="C42">
            <v>0.06973789376043238</v>
          </cell>
          <cell r="D42">
            <v>0.00799572039722779</v>
          </cell>
          <cell r="E42">
            <v>0.00945377078472276</v>
          </cell>
          <cell r="F42">
            <v>0.05214745255653447</v>
          </cell>
          <cell r="G42">
            <v>0.10588610888984606</v>
          </cell>
          <cell r="H42">
            <v>0.28719486274002115</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0.04111153783184959</v>
          </cell>
          <cell r="C43">
            <v>0.06744595971600614</v>
          </cell>
          <cell r="D43">
            <v>0.08333009542605169</v>
          </cell>
          <cell r="E43">
            <v>0.0051623726931323555</v>
          </cell>
          <cell r="F43">
            <v>0.02847589509249615</v>
          </cell>
          <cell r="G43">
            <v>0.05782069076588181</v>
          </cell>
          <cell r="H43">
            <v>0.15682704296288552</v>
          </cell>
          <cell r="I43">
            <v>0.3202811989621688</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0.03226352898797438</v>
          </cell>
          <cell r="C44">
            <v>0.052685378288054</v>
          </cell>
          <cell r="D44">
            <v>0.06481332491113184</v>
          </cell>
          <cell r="E44">
            <v>0.07680879396975565</v>
          </cell>
          <cell r="F44">
            <v>0.011782638139724078</v>
          </cell>
          <cell r="G44">
            <v>0.02392480636939831</v>
          </cell>
          <cell r="H44">
            <v>0.06489124544645364</v>
          </cell>
          <cell r="I44">
            <v>0.13252463032576056</v>
          </cell>
          <cell r="J44">
            <v>0.3126913150347066</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0.026121771831418145</v>
          </cell>
          <cell r="C45">
            <v>0.04255162843427507</v>
          </cell>
          <cell r="D45">
            <v>0.052226882179613854</v>
          </cell>
          <cell r="E45">
            <v>0.06976953856829582</v>
          </cell>
          <cell r="F45">
            <v>0.0050338746300651604</v>
          </cell>
          <cell r="G45">
            <v>0.010221350633361326</v>
          </cell>
          <cell r="H45">
            <v>0.027723366388122617</v>
          </cell>
          <cell r="I45">
            <v>0.056618251918176876</v>
          </cell>
          <cell r="J45">
            <v>0.13359053033192747</v>
          </cell>
          <cell r="K45">
            <v>0.3110415844106843</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0.02086540782337007</v>
          </cell>
          <cell r="C46">
            <v>0.03394479309250509</v>
          </cell>
          <cell r="D46">
            <v>0.04161197442183398</v>
          </cell>
          <cell r="E46">
            <v>0.055413112819702015</v>
          </cell>
          <cell r="F46">
            <v>0.08085577284165019</v>
          </cell>
          <cell r="G46">
            <v>0.011237673744382004</v>
          </cell>
          <cell r="H46">
            <v>0.011603523920355963</v>
          </cell>
          <cell r="I46">
            <v>0.023697383328698807</v>
          </cell>
          <cell r="J46">
            <v>0.05591387757670274</v>
          </cell>
          <cell r="K46">
            <v>0.13018543326978727</v>
          </cell>
          <cell r="L46">
            <v>0.306875542429596</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0.015664824091923213</v>
          </cell>
          <cell r="C47">
            <v>0.025467093967691257</v>
          </cell>
          <cell r="D47">
            <v>0.031199626015488202</v>
          </cell>
          <cell r="E47">
            <v>0.041479142288352894</v>
          </cell>
          <cell r="F47">
            <v>0.06797692911064979</v>
          </cell>
          <cell r="G47">
            <v>0.08382132060682529</v>
          </cell>
          <cell r="H47">
            <v>0.004635926128917722</v>
          </cell>
          <cell r="I47">
            <v>0.009467754736797618</v>
          </cell>
          <cell r="J47">
            <v>0.022339127993023733</v>
          </cell>
          <cell r="K47">
            <v>0.05201265200488936</v>
          </cell>
          <cell r="L47">
            <v>0.12260519780369672</v>
          </cell>
          <cell r="M47">
            <v>0.2896471834749932</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0.01392298193110772</v>
          </cell>
          <cell r="C48">
            <v>0.022627142642194648</v>
          </cell>
          <cell r="D48">
            <v>0.027711011817131342</v>
          </cell>
          <cell r="E48">
            <v>0.03680864916545129</v>
          </cell>
          <cell r="F48">
            <v>0.060075583701522384</v>
          </cell>
          <cell r="G48">
            <v>0.0737978027330235</v>
          </cell>
          <cell r="H48">
            <v>0.08370982132398236</v>
          </cell>
          <cell r="I48">
            <v>0.010909003015512064</v>
          </cell>
          <cell r="J48">
            <v>0.010523494724302085</v>
          </cell>
          <cell r="K48">
            <v>0.024502069603672405</v>
          </cell>
          <cell r="L48">
            <v>0.0577567375352408</v>
          </cell>
          <cell r="M48">
            <v>0.1364467139523058</v>
          </cell>
          <cell r="N48">
            <v>0.3050527719974714</v>
          </cell>
          <cell r="O48">
            <v>0</v>
          </cell>
          <cell r="P48">
            <v>0</v>
          </cell>
          <cell r="Q48">
            <v>0</v>
          </cell>
          <cell r="R48">
            <v>0</v>
          </cell>
          <cell r="S48">
            <v>0</v>
          </cell>
          <cell r="T48">
            <v>0</v>
          </cell>
          <cell r="U48">
            <v>0</v>
          </cell>
          <cell r="V48">
            <v>0</v>
          </cell>
          <cell r="W48">
            <v>0</v>
          </cell>
          <cell r="X48">
            <v>0</v>
          </cell>
          <cell r="Y48">
            <v>0</v>
          </cell>
          <cell r="Z48">
            <v>0</v>
          </cell>
        </row>
        <row r="49">
          <cell r="B49">
            <v>0.00998058412785758</v>
          </cell>
          <cell r="C49">
            <v>0.016216956043764483</v>
          </cell>
          <cell r="D49">
            <v>0.019856960582273625</v>
          </cell>
          <cell r="E49">
            <v>0.02636356627696647</v>
          </cell>
          <cell r="F49">
            <v>0.04293272102618953</v>
          </cell>
          <cell r="G49">
            <v>0.052630573928775376</v>
          </cell>
          <cell r="H49">
            <v>0.07032220010009588</v>
          </cell>
          <cell r="I49">
            <v>0.08683798398390474</v>
          </cell>
          <cell r="J49">
            <v>0.00426389469977323</v>
          </cell>
          <cell r="K49">
            <v>0.009194624735038348</v>
          </cell>
          <cell r="L49">
            <v>0.021673741693927995</v>
          </cell>
          <cell r="M49">
            <v>0.05120287189668804</v>
          </cell>
          <cell r="N49">
            <v>0.11447383050775262</v>
          </cell>
          <cell r="O49">
            <v>0.2801271386463967</v>
          </cell>
          <cell r="P49">
            <v>0</v>
          </cell>
          <cell r="Q49">
            <v>0</v>
          </cell>
          <cell r="R49">
            <v>0</v>
          </cell>
          <cell r="S49">
            <v>0</v>
          </cell>
          <cell r="T49">
            <v>0</v>
          </cell>
          <cell r="U49">
            <v>0</v>
          </cell>
          <cell r="V49">
            <v>0</v>
          </cell>
          <cell r="W49">
            <v>0</v>
          </cell>
          <cell r="X49">
            <v>0</v>
          </cell>
          <cell r="Y49">
            <v>0</v>
          </cell>
          <cell r="Z49">
            <v>0</v>
          </cell>
        </row>
        <row r="50">
          <cell r="B50">
            <v>0.008507935907374115</v>
          </cell>
          <cell r="C50">
            <v>0.013822760788939847</v>
          </cell>
          <cell r="D50">
            <v>0.0169237999105694</v>
          </cell>
          <cell r="E50">
            <v>0.02246385397132647</v>
          </cell>
          <cell r="F50">
            <v>0.03654066977809556</v>
          </cell>
          <cell r="G50">
            <v>0.0447473651208726</v>
          </cell>
          <cell r="H50">
            <v>0.05962484495094081</v>
          </cell>
          <cell r="I50">
            <v>0.07336692290080904</v>
          </cell>
          <cell r="J50">
            <v>0.0945106359652832</v>
          </cell>
          <cell r="K50">
            <v>0.005839559643930514</v>
          </cell>
          <cell r="L50">
            <v>0.009916235232808268</v>
          </cell>
          <cell r="M50">
            <v>0.023426491350367395</v>
          </cell>
          <cell r="N50">
            <v>0.05237440988943354</v>
          </cell>
          <cell r="O50">
            <v>0.12816460771465976</v>
          </cell>
          <cell r="P50">
            <v>0.2862205444100091</v>
          </cell>
          <cell r="Q50">
            <v>0</v>
          </cell>
          <cell r="R50">
            <v>0</v>
          </cell>
          <cell r="S50">
            <v>0</v>
          </cell>
          <cell r="T50">
            <v>0</v>
          </cell>
          <cell r="U50">
            <v>0</v>
          </cell>
          <cell r="V50">
            <v>0</v>
          </cell>
          <cell r="W50">
            <v>0</v>
          </cell>
          <cell r="X50">
            <v>0</v>
          </cell>
          <cell r="Y50">
            <v>0</v>
          </cell>
          <cell r="Z50">
            <v>0</v>
          </cell>
        </row>
        <row r="51">
          <cell r="B51">
            <v>0.006723846175986863</v>
          </cell>
          <cell r="C51">
            <v>0.010923576851888175</v>
          </cell>
          <cell r="D51">
            <v>0.013373522631409361</v>
          </cell>
          <cell r="E51">
            <v>0.01774902754328153</v>
          </cell>
          <cell r="F51">
            <v>0.028853361678981823</v>
          </cell>
          <cell r="G51">
            <v>0.03531302086736207</v>
          </cell>
          <cell r="H51">
            <v>0.04698239649567301</v>
          </cell>
          <cell r="I51">
            <v>0.05769676428286649</v>
          </cell>
          <cell r="J51">
            <v>0.07401740573549037</v>
          </cell>
          <cell r="K51">
            <v>0.094961212730299</v>
          </cell>
          <cell r="L51">
            <v>0.004451183293470162</v>
          </cell>
          <cell r="M51">
            <v>0.009745582309800271</v>
          </cell>
          <cell r="N51">
            <v>0.021788116490465748</v>
          </cell>
          <cell r="O51">
            <v>0.053317362596293605</v>
          </cell>
          <cell r="P51">
            <v>0.11906972463718235</v>
          </cell>
          <cell r="Q51">
            <v>0.27927417148585465</v>
          </cell>
          <cell r="R51">
            <v>0</v>
          </cell>
          <cell r="S51">
            <v>0</v>
          </cell>
          <cell r="T51">
            <v>0</v>
          </cell>
          <cell r="U51">
            <v>0</v>
          </cell>
          <cell r="V51">
            <v>0</v>
          </cell>
          <cell r="W51">
            <v>0</v>
          </cell>
          <cell r="X51">
            <v>0</v>
          </cell>
          <cell r="Y51">
            <v>0</v>
          </cell>
          <cell r="Z51">
            <v>0</v>
          </cell>
        </row>
        <row r="52">
          <cell r="B52">
            <v>0.005421754050493662</v>
          </cell>
          <cell r="C52">
            <v>0.008807944416774724</v>
          </cell>
          <cell r="D52">
            <v>0.010783105947882884</v>
          </cell>
          <cell r="E52">
            <v>0.01431008814272973</v>
          </cell>
          <cell r="F52">
            <v>0.023255297593360716</v>
          </cell>
          <cell r="G52">
            <v>0.028452954413537207</v>
          </cell>
          <cell r="H52">
            <v>0.03782507362822385</v>
          </cell>
          <cell r="I52">
            <v>0.046402666672091225</v>
          </cell>
          <cell r="J52">
            <v>0.05939774115001048</v>
          </cell>
          <cell r="K52">
            <v>0.07590510727100636</v>
          </cell>
          <cell r="L52">
            <v>0.09772601450320229</v>
          </cell>
          <cell r="M52">
            <v>0.004141257723313196</v>
          </cell>
          <cell r="N52">
            <v>0.009258575098365529</v>
          </cell>
          <cell r="O52">
            <v>0.022656515805787425</v>
          </cell>
          <cell r="P52">
            <v>0.05059712196680566</v>
          </cell>
          <cell r="Q52">
            <v>0.11867390606558792</v>
          </cell>
          <cell r="R52">
            <v>0.27581213710962316</v>
          </cell>
          <cell r="S52">
            <v>0</v>
          </cell>
          <cell r="T52">
            <v>0</v>
          </cell>
          <cell r="U52">
            <v>0</v>
          </cell>
          <cell r="V52">
            <v>0</v>
          </cell>
          <cell r="W52">
            <v>0</v>
          </cell>
          <cell r="X52">
            <v>0</v>
          </cell>
          <cell r="Y52">
            <v>0</v>
          </cell>
          <cell r="Z52">
            <v>0</v>
          </cell>
        </row>
        <row r="53">
          <cell r="B53">
            <v>0.004310990765852559</v>
          </cell>
          <cell r="C53">
            <v>0.007003341714869937</v>
          </cell>
          <cell r="D53">
            <v>0.008573703668806512</v>
          </cell>
          <cell r="E53">
            <v>0.011377605674579343</v>
          </cell>
          <cell r="F53">
            <v>0.018486522348577478</v>
          </cell>
          <cell r="G53">
            <v>0.022614672891578036</v>
          </cell>
          <cell r="H53">
            <v>0.030050968109347986</v>
          </cell>
          <cell r="I53">
            <v>0.03684523075064966</v>
          </cell>
          <cell r="J53">
            <v>0.04710860651442292</v>
          </cell>
          <cell r="K53">
            <v>0.06007407391041461</v>
          </cell>
          <cell r="L53">
            <v>0.07704375438070227</v>
          </cell>
          <cell r="M53">
            <v>0.0989547365090015</v>
          </cell>
          <cell r="N53">
            <v>0.009644397002675165</v>
          </cell>
          <cell r="O53">
            <v>0.009465720107417863</v>
          </cell>
          <cell r="P53">
            <v>0.021139093004597265</v>
          </cell>
          <cell r="Q53">
            <v>0.04958105599731755</v>
          </cell>
          <cell r="R53">
            <v>0.11523221463035216</v>
          </cell>
          <cell r="S53">
            <v>0.2699027489335707</v>
          </cell>
          <cell r="T53">
            <v>0</v>
          </cell>
          <cell r="U53">
            <v>0</v>
          </cell>
          <cell r="V53">
            <v>0</v>
          </cell>
          <cell r="W53">
            <v>0</v>
          </cell>
          <cell r="X53">
            <v>0</v>
          </cell>
          <cell r="Y53">
            <v>0</v>
          </cell>
          <cell r="Z53">
            <v>0</v>
          </cell>
        </row>
        <row r="54">
          <cell r="B54">
            <v>0.0034290508905152704</v>
          </cell>
          <cell r="C54">
            <v>0.005570558424590873</v>
          </cell>
          <cell r="D54">
            <v>0.006819596172789644</v>
          </cell>
          <cell r="E54">
            <v>0.00904966838444285</v>
          </cell>
          <cell r="F54">
            <v>0.014702715482063165</v>
          </cell>
          <cell r="G54">
            <v>0.01798439095553142</v>
          </cell>
          <cell r="H54">
            <v>0.023892809321162417</v>
          </cell>
          <cell r="I54">
            <v>0.02928625458962654</v>
          </cell>
          <cell r="J54">
            <v>0.03742102842156453</v>
          </cell>
          <cell r="K54">
            <v>0.047667313087865204</v>
          </cell>
          <cell r="L54">
            <v>0.061006596550047476</v>
          </cell>
          <cell r="M54">
            <v>0.07829231657726232</v>
          </cell>
          <cell r="N54">
            <v>0.09921002935277418</v>
          </cell>
          <cell r="O54">
            <v>0.003964691045370561</v>
          </cell>
          <cell r="P54">
            <v>0.008854051439457167</v>
          </cell>
          <cell r="Q54">
            <v>0.020766890051876152</v>
          </cell>
          <cell r="R54">
            <v>0.048264698754947544</v>
          </cell>
          <cell r="S54">
            <v>0.11304803012073483</v>
          </cell>
          <cell r="T54">
            <v>0.2638723087046909</v>
          </cell>
          <cell r="U54">
            <v>0</v>
          </cell>
          <cell r="V54">
            <v>0</v>
          </cell>
          <cell r="W54">
            <v>0</v>
          </cell>
          <cell r="X54">
            <v>0</v>
          </cell>
          <cell r="Y54">
            <v>0</v>
          </cell>
          <cell r="Z54">
            <v>0</v>
          </cell>
        </row>
        <row r="55">
          <cell r="B55">
            <v>0.002747295809266295</v>
          </cell>
          <cell r="C55">
            <v>0.004463015813254215</v>
          </cell>
          <cell r="D55">
            <v>0.005463697571569556</v>
          </cell>
          <cell r="E55">
            <v>0.007250304333285138</v>
          </cell>
          <cell r="F55">
            <v>0.011778781235806078</v>
          </cell>
          <cell r="G55">
            <v>0.014407184128830963</v>
          </cell>
          <cell r="H55">
            <v>0.01913813794985711</v>
          </cell>
          <cell r="I55">
            <v>0.023454696458891686</v>
          </cell>
          <cell r="J55">
            <v>0.029959937413828477</v>
          </cell>
          <cell r="K55">
            <v>0.03814094907978538</v>
          </cell>
          <cell r="L55">
            <v>0.04876120750846635</v>
          </cell>
          <cell r="M55">
            <v>0.06245179928816402</v>
          </cell>
          <cell r="N55">
            <v>0.07887123083071684</v>
          </cell>
          <cell r="O55">
            <v>0.10232648559532159</v>
          </cell>
          <cell r="P55">
            <v>0.009716832174007095</v>
          </cell>
          <cell r="Q55">
            <v>0.00876477522852337</v>
          </cell>
          <cell r="R55">
            <v>0.020370370094066392</v>
          </cell>
          <cell r="S55">
            <v>0.04771251600795445</v>
          </cell>
          <cell r="T55">
            <v>0.11136869647071601</v>
          </cell>
          <cell r="U55">
            <v>0.2589599382506551</v>
          </cell>
          <cell r="V55">
            <v>0</v>
          </cell>
          <cell r="W55">
            <v>0</v>
          </cell>
          <cell r="X55">
            <v>0</v>
          </cell>
          <cell r="Y55">
            <v>0</v>
          </cell>
          <cell r="Z55">
            <v>0</v>
          </cell>
        </row>
        <row r="56">
          <cell r="B56">
            <v>0.0021852608728631963</v>
          </cell>
          <cell r="C56">
            <v>0.0035499753912653087</v>
          </cell>
          <cell r="D56">
            <v>0.00434592947017156</v>
          </cell>
          <cell r="E56">
            <v>0.005766999682968486</v>
          </cell>
          <cell r="F56">
            <v>0.009368781282739873</v>
          </cell>
          <cell r="G56">
            <v>0.011459129012878877</v>
          </cell>
          <cell r="H56">
            <v>0.015221075696774763</v>
          </cell>
          <cell r="I56">
            <v>0.018652645156838926</v>
          </cell>
          <cell r="J56">
            <v>0.0238219465140955</v>
          </cell>
          <cell r="K56">
            <v>0.030317513417610686</v>
          </cell>
          <cell r="L56">
            <v>0.03873704236576381</v>
          </cell>
          <cell r="M56">
            <v>0.04956043260539403</v>
          </cell>
          <cell r="N56">
            <v>0.062478504830979276</v>
          </cell>
          <cell r="O56">
            <v>0.08100391453740713</v>
          </cell>
          <cell r="P56">
            <v>0.10259654906033316</v>
          </cell>
          <cell r="Q56">
            <v>0.008973787156827284</v>
          </cell>
          <cell r="R56">
            <v>0.008532073945387353</v>
          </cell>
          <cell r="S56">
            <v>0.019984257174538222</v>
          </cell>
          <cell r="T56">
            <v>0.04664647471310923</v>
          </cell>
          <cell r="U56">
            <v>0.10846466371718555</v>
          </cell>
          <cell r="V56">
            <v>0.25276299242586564</v>
          </cell>
          <cell r="W56">
            <v>0</v>
          </cell>
          <cell r="X56">
            <v>0</v>
          </cell>
          <cell r="Y56">
            <v>0</v>
          </cell>
          <cell r="Z56">
            <v>0</v>
          </cell>
        </row>
        <row r="57">
          <cell r="B57">
            <v>0.0017507951064549554</v>
          </cell>
          <cell r="C57">
            <v>0.0028441786838187197</v>
          </cell>
          <cell r="D57">
            <v>0.0034818795032285355</v>
          </cell>
          <cell r="E57">
            <v>0.004620402012374472</v>
          </cell>
          <cell r="F57">
            <v>0.007505976069630403</v>
          </cell>
          <cell r="G57">
            <v>0.009180583668732409</v>
          </cell>
          <cell r="H57">
            <v>0.012194104222646482</v>
          </cell>
          <cell r="I57">
            <v>0.014942612387924277</v>
          </cell>
          <cell r="J57">
            <v>0.019082015362858792</v>
          </cell>
          <cell r="K57">
            <v>0.024281183563808637</v>
          </cell>
          <cell r="L57">
            <v>0.03101493782782762</v>
          </cell>
          <cell r="M57">
            <v>0.03965845418469277</v>
          </cell>
          <cell r="N57">
            <v>0.04994818991093844</v>
          </cell>
          <cell r="O57">
            <v>0.06463331841506581</v>
          </cell>
          <cell r="P57">
            <v>0.08160530029750618</v>
          </cell>
          <cell r="Q57">
            <v>0.1048435779445881</v>
          </cell>
          <cell r="R57">
            <v>0.009791821766139464</v>
          </cell>
          <cell r="S57">
            <v>0.008434460904174101</v>
          </cell>
          <cell r="T57">
            <v>0.019687390121587378</v>
          </cell>
          <cell r="U57">
            <v>0.04577808209817191</v>
          </cell>
          <cell r="V57">
            <v>0.10667995107440265</v>
          </cell>
          <cell r="W57">
            <v>0.24763123018239586</v>
          </cell>
          <cell r="X57">
            <v>0</v>
          </cell>
          <cell r="Y57">
            <v>0</v>
          </cell>
          <cell r="Z57">
            <v>0</v>
          </cell>
        </row>
        <row r="58">
          <cell r="B58">
            <v>0.0013448692408447706</v>
          </cell>
          <cell r="C58">
            <v>0.002184748015539731</v>
          </cell>
          <cell r="D58">
            <v>0.0026745946301836923</v>
          </cell>
          <cell r="E58">
            <v>0.003549141838513464</v>
          </cell>
          <cell r="F58">
            <v>0.005765643221390292</v>
          </cell>
          <cell r="G58">
            <v>0.007051931301697144</v>
          </cell>
          <cell r="H58">
            <v>0.00936656433629917</v>
          </cell>
          <cell r="I58">
            <v>0.011477500792959422</v>
          </cell>
          <cell r="J58">
            <v>0.01465631056715426</v>
          </cell>
          <cell r="K58">
            <v>0.018648049032243902</v>
          </cell>
          <cell r="L58">
            <v>0.023815830124069917</v>
          </cell>
          <cell r="M58">
            <v>0.030444117396000114</v>
          </cell>
          <cell r="N58">
            <v>0.03832413350844047</v>
          </cell>
          <cell r="O58">
            <v>0.04954158878396708</v>
          </cell>
          <cell r="P58">
            <v>0.062447416597826266</v>
          </cell>
          <cell r="Q58">
            <v>0.07997827108956174</v>
          </cell>
          <cell r="R58">
            <v>0.10247898637786185</v>
          </cell>
          <cell r="S58">
            <v>0.0043590665993343825</v>
          </cell>
          <cell r="T58">
            <v>0.00804406106423361</v>
          </cell>
          <cell r="U58">
            <v>0.018704444089692407</v>
          </cell>
          <cell r="V58">
            <v>0.0435883088348511</v>
          </cell>
          <cell r="W58">
            <v>0.10117952276540065</v>
          </cell>
          <cell r="X58">
            <v>0.23535329148162276</v>
          </cell>
          <cell r="Y58">
            <v>0</v>
          </cell>
          <cell r="Z58">
            <v>0</v>
          </cell>
        </row>
        <row r="59">
          <cell r="B59">
            <v>0.005570579041657329</v>
          </cell>
          <cell r="C59">
            <v>0.009049433498459289</v>
          </cell>
          <cell r="D59">
            <v>0.011078418845090789</v>
          </cell>
          <cell r="E59">
            <v>0.014700854422706864</v>
          </cell>
          <cell r="F59">
            <v>0.02388164337940789</v>
          </cell>
          <cell r="G59">
            <v>0.02920935173978991</v>
          </cell>
          <cell r="H59">
            <v>0.038796036278239555</v>
          </cell>
          <cell r="I59">
            <v>0.047538499736323285</v>
          </cell>
          <cell r="J59">
            <v>0.06070213199485562</v>
          </cell>
          <cell r="K59">
            <v>0.07722867423896403</v>
          </cell>
          <cell r="L59">
            <v>0.0986159787511803</v>
          </cell>
          <cell r="M59">
            <v>0.12602804273201737</v>
          </cell>
          <cell r="N59">
            <v>0.15857581057998682</v>
          </cell>
          <cell r="O59">
            <v>0.20479865675231246</v>
          </cell>
          <cell r="P59">
            <v>0.25775336641227575</v>
          </cell>
          <cell r="Q59">
            <v>0.32914356497986325</v>
          </cell>
          <cell r="R59">
            <v>0.4195176973216221</v>
          </cell>
          <cell r="S59">
            <v>0.5365589202596933</v>
          </cell>
          <cell r="T59">
            <v>0.5503810689256629</v>
          </cell>
          <cell r="U59">
            <v>0.568092871844295</v>
          </cell>
          <cell r="V59">
            <v>0.5969687476648806</v>
          </cell>
          <cell r="W59">
            <v>0.6511892470522035</v>
          </cell>
          <cell r="X59">
            <v>0.7646467085183772</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-1.573127167448054</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0.766470002574004</v>
          </cell>
          <cell r="C68">
            <v>-5.8056435710888215</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-0.13892259401313134</v>
          </cell>
          <cell r="C69">
            <v>-7.81987879788201</v>
          </cell>
          <cell r="D69">
            <v>1.2123913008005867</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-0.038771261934472445</v>
          </cell>
          <cell r="C70">
            <v>-2.6825457285545853</v>
          </cell>
          <cell r="D70">
            <v>0.4197794678015424</v>
          </cell>
          <cell r="E70">
            <v>0.3261479208333213</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0.01265275160935315</v>
          </cell>
          <cell r="C71">
            <v>-0.6457813890375713</v>
          </cell>
          <cell r="D71">
            <v>0.10044210718899292</v>
          </cell>
          <cell r="E71">
            <v>0.080826689288521</v>
          </cell>
          <cell r="F71">
            <v>0.34432289748691586</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0.020948490360757712</v>
          </cell>
          <cell r="C72">
            <v>-0.5915080559360284</v>
          </cell>
          <cell r="D72">
            <v>0.09181114696556368</v>
          </cell>
          <cell r="E72">
            <v>0.07532660311981207</v>
          </cell>
          <cell r="F72">
            <v>0.3842787662690223</v>
          </cell>
          <cell r="G72">
            <v>3.2087349654554456</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-0.0008234602579885048</v>
          </cell>
          <cell r="C73">
            <v>-0.3848444402626998</v>
          </cell>
          <cell r="D73">
            <v>0.061488902759047774</v>
          </cell>
          <cell r="E73">
            <v>0.05144784732089455</v>
          </cell>
          <cell r="F73">
            <v>0.3533239496803387</v>
          </cell>
          <cell r="G73">
            <v>16.051589222591364</v>
          </cell>
          <cell r="H73">
            <v>-7.63919973706134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0.008259242725781121</v>
          </cell>
          <cell r="C74">
            <v>-0.48512226305244216</v>
          </cell>
          <cell r="D74">
            <v>0.07918157481856947</v>
          </cell>
          <cell r="E74">
            <v>0.05447142433843816</v>
          </cell>
          <cell r="F74">
            <v>0.5064035235155386</v>
          </cell>
          <cell r="G74">
            <v>-328.7955696285036</v>
          </cell>
          <cell r="H74">
            <v>18.67787809851682</v>
          </cell>
          <cell r="I74">
            <v>-3.8492450565686713</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0.006332126039173918</v>
          </cell>
          <cell r="C75">
            <v>-0.6915629709100574</v>
          </cell>
          <cell r="D75">
            <v>0.11167606099660429</v>
          </cell>
          <cell r="E75">
            <v>0.08008896530205362</v>
          </cell>
          <cell r="F75">
            <v>0.814298699818227</v>
          </cell>
          <cell r="G75">
            <v>632.6083957915937</v>
          </cell>
          <cell r="H75">
            <v>-17.62835079825012</v>
          </cell>
          <cell r="I75">
            <v>4.600072744842983</v>
          </cell>
          <cell r="J75">
            <v>-2.2419678636994895</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0.006673338509274705</v>
          </cell>
          <cell r="C76">
            <v>-0.8904302326378144</v>
          </cell>
          <cell r="D76">
            <v>0.1428823678929939</v>
          </cell>
          <cell r="E76">
            <v>0.10595528318305905</v>
          </cell>
          <cell r="F76">
            <v>2.0685546849712533</v>
          </cell>
          <cell r="G76">
            <v>-406.6671622888733</v>
          </cell>
          <cell r="H76">
            <v>6.2603090589501</v>
          </cell>
          <cell r="I76">
            <v>-2.0341345237928072</v>
          </cell>
          <cell r="J76">
            <v>1.597023056051421</v>
          </cell>
          <cell r="K76">
            <v>-1.7536430388057576</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0.0030473536225434283</v>
          </cell>
          <cell r="C77">
            <v>-1.4671741741105628</v>
          </cell>
          <cell r="D77">
            <v>0.23115798837885976</v>
          </cell>
          <cell r="E77">
            <v>0.18724289341931846</v>
          </cell>
          <cell r="F77">
            <v>32.84346246479828</v>
          </cell>
          <cell r="G77">
            <v>78.75123925424465</v>
          </cell>
          <cell r="H77">
            <v>-0.43482055251649526</v>
          </cell>
          <cell r="I77">
            <v>0.22244207638330668</v>
          </cell>
          <cell r="J77">
            <v>-0.35241784080288613</v>
          </cell>
          <cell r="K77">
            <v>0.9243659191284981</v>
          </cell>
          <cell r="L77">
            <v>-1.5707588900827187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0.005199191978841237</v>
          </cell>
          <cell r="C78">
            <v>-2.2242175165685842</v>
          </cell>
          <cell r="D78">
            <v>0.34298218884082804</v>
          </cell>
          <cell r="E78">
            <v>0.31368459050470676</v>
          </cell>
          <cell r="F78">
            <v>-62.08748003535466</v>
          </cell>
          <cell r="G78">
            <v>1.8999771350592287</v>
          </cell>
          <cell r="H78">
            <v>-0.03881195868580157</v>
          </cell>
          <cell r="I78">
            <v>0.015205701899968926</v>
          </cell>
          <cell r="J78">
            <v>-0.0045378884164260615</v>
          </cell>
          <cell r="K78">
            <v>-0.11201732920488061</v>
          </cell>
          <cell r="L78">
            <v>0.6904413213630647</v>
          </cell>
          <cell r="M78">
            <v>-1.4819147266587178</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0.027871665294199693</v>
          </cell>
          <cell r="C79">
            <v>-4.086293754540497</v>
          </cell>
          <cell r="D79">
            <v>0.6112840724763178</v>
          </cell>
          <cell r="E79">
            <v>0.6780427608224254</v>
          </cell>
          <cell r="F79">
            <v>32.14134655427138</v>
          </cell>
          <cell r="G79">
            <v>-0.31880395395581046</v>
          </cell>
          <cell r="H79">
            <v>-0.05941176365751491</v>
          </cell>
          <cell r="I79">
            <v>-0.006388949347599064</v>
          </cell>
          <cell r="J79">
            <v>-0.0008262341176958113</v>
          </cell>
          <cell r="K79">
            <v>-0.011262004137416928</v>
          </cell>
          <cell r="L79">
            <v>-0.04485377754997278</v>
          </cell>
          <cell r="M79">
            <v>0.6363338614637674</v>
          </cell>
          <cell r="N79">
            <v>-1.517977543668773</v>
          </cell>
          <cell r="O79">
            <v>1</v>
          </cell>
          <cell r="P79">
            <v>0</v>
          </cell>
          <cell r="Q79">
            <v>0</v>
          </cell>
          <cell r="R79">
            <v>0</v>
          </cell>
          <cell r="S79">
            <v>0</v>
          </cell>
          <cell r="T79">
            <v>0</v>
          </cell>
          <cell r="U79">
            <v>0</v>
          </cell>
          <cell r="V79">
            <v>0</v>
          </cell>
          <cell r="W79">
            <v>0</v>
          </cell>
          <cell r="X79">
            <v>0</v>
          </cell>
          <cell r="Y79">
            <v>0</v>
          </cell>
          <cell r="Z79">
            <v>0</v>
          </cell>
        </row>
        <row r="80">
          <cell r="A80">
            <v>15</v>
          </cell>
          <cell r="B80">
            <v>0.15779202293495978</v>
          </cell>
          <cell r="C80">
            <v>-7.421507777406174</v>
          </cell>
          <cell r="D80">
            <v>1.0531492331284709</v>
          </cell>
          <cell r="E80">
            <v>1.742192452649985</v>
          </cell>
          <cell r="F80">
            <v>-4.435479828090624</v>
          </cell>
          <cell r="G80">
            <v>-2.1436300186772095</v>
          </cell>
          <cell r="H80">
            <v>0.7473256124645828</v>
          </cell>
          <cell r="I80">
            <v>-0.11288606441197753</v>
          </cell>
          <cell r="J80">
            <v>-0.0006029161894217385</v>
          </cell>
          <cell r="K80">
            <v>-0.001644031161559564</v>
          </cell>
          <cell r="L80">
            <v>-0.002770017885727932</v>
          </cell>
          <cell r="M80">
            <v>-0.06023240811130258</v>
          </cell>
          <cell r="N80">
            <v>0.6224580417138269</v>
          </cell>
          <cell r="O80">
            <v>-1.3903434496346303</v>
          </cell>
          <cell r="P80">
            <v>1</v>
          </cell>
          <cell r="Q80">
            <v>0</v>
          </cell>
          <cell r="R80">
            <v>0</v>
          </cell>
          <cell r="S80">
            <v>0</v>
          </cell>
          <cell r="T80">
            <v>0</v>
          </cell>
          <cell r="U80">
            <v>0</v>
          </cell>
          <cell r="V80">
            <v>0</v>
          </cell>
          <cell r="W80">
            <v>0</v>
          </cell>
          <cell r="X80">
            <v>0</v>
          </cell>
          <cell r="Y80">
            <v>0</v>
          </cell>
          <cell r="Z80">
            <v>0</v>
          </cell>
        </row>
        <row r="81">
          <cell r="A81">
            <v>16</v>
          </cell>
          <cell r="B81">
            <v>-0.5790052453749148</v>
          </cell>
          <cell r="C81">
            <v>-20.506314864558384</v>
          </cell>
          <cell r="D81">
            <v>2.598212319404544</v>
          </cell>
          <cell r="E81">
            <v>17.107755943099832</v>
          </cell>
          <cell r="F81">
            <v>-0.7660142112505219</v>
          </cell>
          <cell r="G81">
            <v>36.0871312732954</v>
          </cell>
          <cell r="H81">
            <v>-1.3685945209232329</v>
          </cell>
          <cell r="I81">
            <v>0.3286599848205802</v>
          </cell>
          <cell r="J81">
            <v>-0.11702133427200312</v>
          </cell>
          <cell r="K81">
            <v>-0.0027082085480747754</v>
          </cell>
          <cell r="L81">
            <v>-0.0006229363907833734</v>
          </cell>
          <cell r="M81">
            <v>-0.007758506261917668</v>
          </cell>
          <cell r="N81">
            <v>-0.021720056778873155</v>
          </cell>
          <cell r="O81">
            <v>0.5281402660249179</v>
          </cell>
          <cell r="P81">
            <v>-1.450953059763364</v>
          </cell>
          <cell r="Q81">
            <v>1</v>
          </cell>
          <cell r="R81">
            <v>0</v>
          </cell>
          <cell r="S81">
            <v>0</v>
          </cell>
          <cell r="T81">
            <v>0</v>
          </cell>
          <cell r="U81">
            <v>0</v>
          </cell>
          <cell r="V81">
            <v>0</v>
          </cell>
          <cell r="W81">
            <v>0</v>
          </cell>
          <cell r="X81">
            <v>0</v>
          </cell>
          <cell r="Y81">
            <v>0</v>
          </cell>
          <cell r="Z81">
            <v>0</v>
          </cell>
        </row>
        <row r="82">
          <cell r="A82">
            <v>17</v>
          </cell>
          <cell r="B82">
            <v>0.39400739602502366</v>
          </cell>
          <cell r="C82">
            <v>-227.13663507191637</v>
          </cell>
          <cell r="D82">
            <v>14.579294298214204</v>
          </cell>
          <cell r="E82">
            <v>-35.56751812599654</v>
          </cell>
          <cell r="F82">
            <v>-0.459432322840484</v>
          </cell>
          <cell r="G82">
            <v>-36.117039417285696</v>
          </cell>
          <cell r="H82">
            <v>0.563943874805674</v>
          </cell>
          <cell r="I82">
            <v>-0.18418774220935638</v>
          </cell>
          <cell r="J82">
            <v>0.14012239110570077</v>
          </cell>
          <cell r="K82">
            <v>-0.11847185010889935</v>
          </cell>
          <cell r="L82">
            <v>-0.0006004319080001005</v>
          </cell>
          <cell r="M82">
            <v>-0.0014972650336626937</v>
          </cell>
          <cell r="N82">
            <v>-0.0022007779969905527</v>
          </cell>
          <cell r="O82">
            <v>-0.03209072106184407</v>
          </cell>
          <cell r="P82">
            <v>0.574143851857987</v>
          </cell>
          <cell r="Q82">
            <v>-1.3847289679288814</v>
          </cell>
          <cell r="R82">
            <v>1</v>
          </cell>
          <cell r="S82">
            <v>0</v>
          </cell>
          <cell r="T82">
            <v>0</v>
          </cell>
          <cell r="U82">
            <v>0</v>
          </cell>
          <cell r="V82">
            <v>0</v>
          </cell>
          <cell r="W82">
            <v>0</v>
          </cell>
          <cell r="X82">
            <v>0</v>
          </cell>
          <cell r="Y82">
            <v>0</v>
          </cell>
          <cell r="Z82">
            <v>0</v>
          </cell>
        </row>
        <row r="83">
          <cell r="A83">
            <v>18</v>
          </cell>
          <cell r="B83">
            <v>-0.07766959020759759</v>
          </cell>
          <cell r="C83">
            <v>437.38237851227115</v>
          </cell>
          <cell r="D83">
            <v>-45.46141050519587</v>
          </cell>
          <cell r="E83">
            <v>17.924754539626353</v>
          </cell>
          <cell r="F83">
            <v>-0.6325152186426507</v>
          </cell>
          <cell r="G83">
            <v>6.976037146490773</v>
          </cell>
          <cell r="H83">
            <v>-0.048455748636537246</v>
          </cell>
          <cell r="I83">
            <v>0.021008048829528725</v>
          </cell>
          <cell r="J83">
            <v>-0.031224330431878902</v>
          </cell>
          <cell r="K83">
            <v>0.08525209029701909</v>
          </cell>
          <cell r="L83">
            <v>-0.12169329725183006</v>
          </cell>
          <cell r="M83">
            <v>-0.00039475757158039253</v>
          </cell>
          <cell r="N83">
            <v>-0.0004522219806066604</v>
          </cell>
          <cell r="O83">
            <v>-0.003599639546281105</v>
          </cell>
          <cell r="P83">
            <v>-0.02836600678132543</v>
          </cell>
          <cell r="Q83">
            <v>0.5134396148188444</v>
          </cell>
          <cell r="R83">
            <v>-1.3674671353238728</v>
          </cell>
          <cell r="S83">
            <v>1</v>
          </cell>
          <cell r="T83">
            <v>0</v>
          </cell>
          <cell r="U83">
            <v>0</v>
          </cell>
          <cell r="V83">
            <v>0</v>
          </cell>
          <cell r="W83">
            <v>0</v>
          </cell>
          <cell r="X83">
            <v>0</v>
          </cell>
          <cell r="Y83">
            <v>0</v>
          </cell>
          <cell r="Z83">
            <v>0</v>
          </cell>
        </row>
        <row r="84">
          <cell r="A84">
            <v>19</v>
          </cell>
          <cell r="B84">
            <v>-0.010317065124616514</v>
          </cell>
          <cell r="C84">
            <v>-204.6470203091327</v>
          </cell>
          <cell r="D84">
            <v>28.739222829225447</v>
          </cell>
          <cell r="E84">
            <v>-1.994398149028154</v>
          </cell>
          <cell r="F84">
            <v>-4.2700221100420785</v>
          </cell>
          <cell r="G84">
            <v>-0.185205287076347</v>
          </cell>
          <cell r="H84">
            <v>-0.01093341888128455</v>
          </cell>
          <cell r="I84">
            <v>0.0017492904055322353</v>
          </cell>
          <cell r="J84">
            <v>0.001337749871583957</v>
          </cell>
          <cell r="K84">
            <v>-0.011417505170489265</v>
          </cell>
          <cell r="L84">
            <v>0.06124993249917652</v>
          </cell>
          <cell r="M84">
            <v>-0.11439571162415599</v>
          </cell>
          <cell r="N84">
            <v>-0.007927917271447728</v>
          </cell>
          <cell r="O84">
            <v>-0.0007307923253471637</v>
          </cell>
          <cell r="P84">
            <v>-0.003161833125319305</v>
          </cell>
          <cell r="Q84">
            <v>-0.021384829899387378</v>
          </cell>
          <cell r="R84">
            <v>0.49396441371652294</v>
          </cell>
          <cell r="S84">
            <v>-1.3340996901422253</v>
          </cell>
          <cell r="T84">
            <v>1</v>
          </cell>
          <cell r="U84">
            <v>0</v>
          </cell>
          <cell r="V84">
            <v>0</v>
          </cell>
          <cell r="W84">
            <v>0</v>
          </cell>
          <cell r="X84">
            <v>0</v>
          </cell>
          <cell r="Y84">
            <v>0</v>
          </cell>
          <cell r="Z84">
            <v>0</v>
          </cell>
        </row>
        <row r="85">
          <cell r="A85">
            <v>20</v>
          </cell>
          <cell r="B85">
            <v>-0.007036321280916586</v>
          </cell>
          <cell r="C85">
            <v>18.71059774305351</v>
          </cell>
          <cell r="D85">
            <v>-4.559740510527743</v>
          </cell>
          <cell r="E85">
            <v>-0.3935384287016026</v>
          </cell>
          <cell r="F85">
            <v>2.8524796881756718</v>
          </cell>
          <cell r="G85">
            <v>-0.2753060916829248</v>
          </cell>
          <cell r="H85">
            <v>-0.006951914762200722</v>
          </cell>
          <cell r="I85">
            <v>0.0006012752511339889</v>
          </cell>
          <cell r="J85">
            <v>0.0014224402705524553</v>
          </cell>
          <cell r="K85">
            <v>-0.0018186616193171822</v>
          </cell>
          <cell r="L85">
            <v>-0.007049552709098948</v>
          </cell>
          <cell r="M85">
            <v>0.05412064322612111</v>
          </cell>
          <cell r="N85">
            <v>-0.12255632996949131</v>
          </cell>
          <cell r="O85">
            <v>-0.00019396583763519337</v>
          </cell>
          <cell r="P85">
            <v>-0.0006576626489470175</v>
          </cell>
          <cell r="Q85">
            <v>-0.002583234869154141</v>
          </cell>
          <cell r="R85">
            <v>-0.015982807136829875</v>
          </cell>
          <cell r="S85">
            <v>0.461898415364299</v>
          </cell>
          <cell r="T85">
            <v>-1.3082344444905551</v>
          </cell>
          <cell r="U85">
            <v>1</v>
          </cell>
          <cell r="V85">
            <v>0</v>
          </cell>
          <cell r="W85">
            <v>0</v>
          </cell>
          <cell r="X85">
            <v>0</v>
          </cell>
          <cell r="Y85">
            <v>0</v>
          </cell>
          <cell r="Z85">
            <v>0</v>
          </cell>
        </row>
        <row r="86">
          <cell r="A86">
            <v>21</v>
          </cell>
          <cell r="B86">
            <v>-0.011983044574088934</v>
          </cell>
          <cell r="C86">
            <v>4.743399120516982</v>
          </cell>
          <cell r="D86">
            <v>-0.7953394396722289</v>
          </cell>
          <cell r="E86">
            <v>-0.37890905676587283</v>
          </cell>
          <cell r="F86">
            <v>-0.5564184245866542</v>
          </cell>
          <cell r="G86">
            <v>-0.2109636288028953</v>
          </cell>
          <cell r="H86">
            <v>-0.004775746686423959</v>
          </cell>
          <cell r="I86">
            <v>0.0008966343886451486</v>
          </cell>
          <cell r="J86">
            <v>0.00119862667436992</v>
          </cell>
          <cell r="K86">
            <v>-0.0008283069088349364</v>
          </cell>
          <cell r="L86">
            <v>-0.0026542516315496653</v>
          </cell>
          <cell r="M86">
            <v>-0.01108711358833751</v>
          </cell>
          <cell r="N86">
            <v>0.05794943488028461</v>
          </cell>
          <cell r="O86">
            <v>-0.11871480716324556</v>
          </cell>
          <cell r="P86">
            <v>-0.008259640578548173</v>
          </cell>
          <cell r="Q86">
            <v>-0.0005566688917758507</v>
          </cell>
          <cell r="R86">
            <v>-0.002040477741373364</v>
          </cell>
          <cell r="S86">
            <v>-0.010908824247292812</v>
          </cell>
          <cell r="T86">
            <v>0.43857420260041485</v>
          </cell>
          <cell r="U86">
            <v>-1.2838773811774014</v>
          </cell>
          <cell r="V86">
            <v>1</v>
          </cell>
          <cell r="W86">
            <v>0</v>
          </cell>
          <cell r="X86">
            <v>0</v>
          </cell>
          <cell r="Y86">
            <v>0</v>
          </cell>
          <cell r="Z86">
            <v>0</v>
          </cell>
        </row>
        <row r="87">
          <cell r="A87">
            <v>22</v>
          </cell>
          <cell r="B87">
            <v>-0.026722379355653615</v>
          </cell>
          <cell r="C87">
            <v>4.3172809184935845</v>
          </cell>
          <cell r="D87">
            <v>-0.6792687743889964</v>
          </cell>
          <cell r="E87">
            <v>-0.6790292468371871</v>
          </cell>
          <cell r="F87">
            <v>-0.1502536491901002</v>
          </cell>
          <cell r="G87">
            <v>-0.15506837466223447</v>
          </cell>
          <cell r="H87">
            <v>-0.021864421796939194</v>
          </cell>
          <cell r="I87">
            <v>0.0033847504912219994</v>
          </cell>
          <cell r="J87">
            <v>0.0011362917228748062</v>
          </cell>
          <cell r="K87">
            <v>-0.0005828285055141022</v>
          </cell>
          <cell r="L87">
            <v>-0.001987377879443424</v>
          </cell>
          <cell r="M87">
            <v>-0.0050240242637072784</v>
          </cell>
          <cell r="N87">
            <v>-0.005111777708292216</v>
          </cell>
          <cell r="O87">
            <v>0.04348969738434664</v>
          </cell>
          <cell r="P87">
            <v>-0.11909199044923696</v>
          </cell>
          <cell r="Q87">
            <v>-0.0073036450494395125</v>
          </cell>
          <cell r="R87">
            <v>-0.0004415614360672259</v>
          </cell>
          <cell r="S87">
            <v>-0.0014216164966534878</v>
          </cell>
          <cell r="T87">
            <v>-0.008175035701810794</v>
          </cell>
          <cell r="U87">
            <v>0.41518728985275344</v>
          </cell>
          <cell r="V87">
            <v>-1.2531533400316661</v>
          </cell>
          <cell r="W87">
            <v>1</v>
          </cell>
          <cell r="X87">
            <v>0</v>
          </cell>
          <cell r="Y87">
            <v>0</v>
          </cell>
          <cell r="Z87">
            <v>0</v>
          </cell>
        </row>
        <row r="88">
          <cell r="A88">
            <v>23</v>
          </cell>
          <cell r="B88">
            <v>0.04153889148345434</v>
          </cell>
          <cell r="C88">
            <v>8.514577244964597</v>
          </cell>
          <cell r="D88">
            <v>-1.0827608970648461</v>
          </cell>
          <cell r="E88">
            <v>-2.523157916612472</v>
          </cell>
          <cell r="F88">
            <v>-0.08222211734240312</v>
          </cell>
          <cell r="G88">
            <v>-0.9474141023342352</v>
          </cell>
          <cell r="H88">
            <v>0.01159730790649335</v>
          </cell>
          <cell r="I88">
            <v>-0.004483808042645513</v>
          </cell>
          <cell r="J88">
            <v>0.0035988147623582825</v>
          </cell>
          <cell r="K88">
            <v>-0.00021802822706732164</v>
          </cell>
          <cell r="L88">
            <v>-0.0015786570623282077</v>
          </cell>
          <cell r="M88">
            <v>-0.003644823843807444</v>
          </cell>
          <cell r="N88">
            <v>-0.002726300676238174</v>
          </cell>
          <cell r="O88">
            <v>-0.009799363630379672</v>
          </cell>
          <cell r="P88">
            <v>0.052041024308418025</v>
          </cell>
          <cell r="Q88">
            <v>-0.12101502058527294</v>
          </cell>
          <cell r="R88">
            <v>-0.008472560790182227</v>
          </cell>
          <cell r="S88">
            <v>-0.00031603008672486955</v>
          </cell>
          <cell r="T88">
            <v>-0.0011199535775160046</v>
          </cell>
          <cell r="U88">
            <v>-0.003991518146528466</v>
          </cell>
          <cell r="V88">
            <v>0.3888621584257924</v>
          </cell>
          <cell r="W88">
            <v>-1.2277107888214127</v>
          </cell>
          <cell r="X88">
            <v>1</v>
          </cell>
          <cell r="Y88">
            <v>0</v>
          </cell>
          <cell r="Z88">
            <v>0</v>
          </cell>
        </row>
        <row r="89">
          <cell r="A89">
            <v>24</v>
          </cell>
          <cell r="B89">
            <v>-0.004085380511494087</v>
          </cell>
          <cell r="C89">
            <v>34.502611508583186</v>
          </cell>
          <cell r="D89">
            <v>-2.68765475176185</v>
          </cell>
          <cell r="E89">
            <v>1.782514838506125</v>
          </cell>
          <cell r="F89">
            <v>-0.04764487979324952</v>
          </cell>
          <cell r="G89">
            <v>-0.04914251484516596</v>
          </cell>
          <cell r="H89">
            <v>-0.0007288234862748401</v>
          </cell>
          <cell r="I89">
            <v>-0.00018725530383081665</v>
          </cell>
          <cell r="J89">
            <v>8.739963717286586E-05</v>
          </cell>
          <cell r="K89">
            <v>0.002413745693408603</v>
          </cell>
          <cell r="L89">
            <v>-0.0011766024455507169</v>
          </cell>
          <cell r="M89">
            <v>-0.002752918509865644</v>
          </cell>
          <cell r="N89">
            <v>-0.0020132196444546655</v>
          </cell>
          <cell r="O89">
            <v>-0.005531604869492277</v>
          </cell>
          <cell r="P89">
            <v>-0.007330709756582196</v>
          </cell>
          <cell r="Q89">
            <v>0.0456188522723617</v>
          </cell>
          <cell r="R89">
            <v>-0.12556880922176675</v>
          </cell>
          <cell r="S89">
            <v>-0.0013184904509677062</v>
          </cell>
          <cell r="T89">
            <v>-0.0002442328283822812</v>
          </cell>
          <cell r="U89">
            <v>-0.0005459575381284795</v>
          </cell>
          <cell r="V89">
            <v>-0.0014173615980210474</v>
          </cell>
          <cell r="W89">
            <v>0.3597112595272263</v>
          </cell>
          <cell r="X89">
            <v>-1.1871075381698235</v>
          </cell>
          <cell r="Y89">
            <v>1</v>
          </cell>
          <cell r="Z89">
            <v>0</v>
          </cell>
        </row>
        <row r="90">
          <cell r="A90">
            <v>25</v>
          </cell>
          <cell r="B90">
            <v>0.01767103692556172</v>
          </cell>
          <cell r="C90">
            <v>-21.68436413028771</v>
          </cell>
          <cell r="D90">
            <v>3.891219019718962</v>
          </cell>
          <cell r="E90">
            <v>0.02609817192698397</v>
          </cell>
          <cell r="F90">
            <v>0.1790115681467995</v>
          </cell>
          <cell r="G90">
            <v>-0.7177994820310756</v>
          </cell>
          <cell r="H90">
            <v>0.0018454527004940673</v>
          </cell>
          <cell r="I90">
            <v>-0.0025071076360127253</v>
          </cell>
          <cell r="J90">
            <v>0.0026716378337672732</v>
          </cell>
          <cell r="K90">
            <v>0.002580037278885828</v>
          </cell>
          <cell r="L90">
            <v>0.004054538934762692</v>
          </cell>
          <cell r="M90">
            <v>-0.001752249222833398</v>
          </cell>
          <cell r="N90">
            <v>0.0022786691010559038</v>
          </cell>
          <cell r="O90">
            <v>-0.010625619340409181</v>
          </cell>
          <cell r="P90">
            <v>-0.008363973063082066</v>
          </cell>
          <cell r="Q90">
            <v>-0.021486099867294807</v>
          </cell>
          <cell r="R90">
            <v>0.026008937933569287</v>
          </cell>
          <cell r="S90">
            <v>-0.11383376394043485</v>
          </cell>
          <cell r="T90">
            <v>-0.12080053600215065</v>
          </cell>
          <cell r="U90">
            <v>-0.12677243299069502</v>
          </cell>
          <cell r="V90">
            <v>-0.13429145679610535</v>
          </cell>
          <cell r="W90">
            <v>-0.13200047070581364</v>
          </cell>
          <cell r="X90">
            <v>0.18710753816982356</v>
          </cell>
          <cell r="Y90">
            <v>-1</v>
          </cell>
          <cell r="Z90">
            <v>1</v>
          </cell>
        </row>
        <row r="95">
          <cell r="B95">
            <v>0.2144358512533948</v>
          </cell>
          <cell r="C95">
            <v>0.14554342312029256</v>
          </cell>
          <cell r="D95">
            <v>0.13780107860743707</v>
          </cell>
          <cell r="E95">
            <v>0.1807709198590968</v>
          </cell>
          <cell r="F95">
            <v>0.44825265982324447</v>
          </cell>
          <cell r="G95">
            <v>0.8299085508945632</v>
          </cell>
          <cell r="H95">
            <v>0.923080939049155</v>
          </cell>
          <cell r="I95">
            <v>0.8883778140212797</v>
          </cell>
          <cell r="J95">
            <v>0.8144592385020154</v>
          </cell>
          <cell r="K95">
            <v>0.7008651346556201</v>
          </cell>
          <cell r="L95">
            <v>0.5765535175719347</v>
          </cell>
          <cell r="M95">
            <v>0.4639135862867063</v>
          </cell>
          <cell r="N95">
            <v>0.37323950010180457</v>
          </cell>
          <cell r="O95">
            <v>0.2982332889757656</v>
          </cell>
          <cell r="P95">
            <v>0.2381450870916631</v>
          </cell>
          <cell r="Q95">
            <v>0.19116767730070722</v>
          </cell>
          <cell r="R95">
            <v>0.15261269944617287</v>
          </cell>
          <cell r="S95">
            <v>0.12183138580652308</v>
          </cell>
          <cell r="T95">
            <v>0.09718358311341141</v>
          </cell>
          <cell r="U95">
            <v>0.07758154882030255</v>
          </cell>
          <cell r="V95">
            <v>0.061933237395521944</v>
          </cell>
          <cell r="W95">
            <v>0.04944120636098145</v>
          </cell>
          <cell r="X95">
            <v>0.039468835942517634</v>
          </cell>
          <cell r="Y95">
            <v>0.03164383260344286</v>
          </cell>
          <cell r="Z95">
            <v>0</v>
          </cell>
        </row>
        <row r="100">
          <cell r="B100">
            <v>1.0000000000000004</v>
          </cell>
          <cell r="C100">
            <v>-7.057427063739378E-17</v>
          </cell>
          <cell r="D100">
            <v>2.349608574942442E-16</v>
          </cell>
          <cell r="E100">
            <v>-2.1753244224055027E-16</v>
          </cell>
          <cell r="F100">
            <v>1.0586148524465947E-16</v>
          </cell>
          <cell r="G100">
            <v>3.13065977705243E-17</v>
          </cell>
          <cell r="H100">
            <v>-2.662674552647685E-17</v>
          </cell>
          <cell r="I100">
            <v>-1.1618943502462624E-16</v>
          </cell>
          <cell r="J100">
            <v>3.582507579925976E-17</v>
          </cell>
          <cell r="K100">
            <v>1.3410197292425614E-16</v>
          </cell>
          <cell r="L100">
            <v>1.9042157406813744E-17</v>
          </cell>
          <cell r="M100">
            <v>-4.744401930172238E-17</v>
          </cell>
          <cell r="N100">
            <v>6.374281504823246E-17</v>
          </cell>
          <cell r="O100">
            <v>1.8719408976189783E-17</v>
          </cell>
          <cell r="P100">
            <v>2.9370107186780524E-17</v>
          </cell>
          <cell r="Q100">
            <v>-2.7433616603036753E-17</v>
          </cell>
          <cell r="R100">
            <v>-2.265693982980212E-16</v>
          </cell>
          <cell r="S100">
            <v>-1.0327949779966777E-17</v>
          </cell>
          <cell r="T100">
            <v>0</v>
          </cell>
          <cell r="U100">
            <v>1.4022935936917767E-16</v>
          </cell>
        </row>
        <row r="101">
          <cell r="B101">
            <v>1.5731271674480547</v>
          </cell>
          <cell r="C101">
            <v>0.9999999999999999</v>
          </cell>
          <cell r="D101">
            <v>3.6962330821108625E-16</v>
          </cell>
          <cell r="E101">
            <v>-3.4220619468993427E-16</v>
          </cell>
          <cell r="F101">
            <v>1.6653357842477512E-16</v>
          </cell>
          <cell r="G101">
            <v>4.924925947318045E-17</v>
          </cell>
          <cell r="H101">
            <v>-4.188725676842667E-17</v>
          </cell>
          <cell r="I101">
            <v>-1.8278075680768E-16</v>
          </cell>
          <cell r="J101">
            <v>5.635740001570134E-17</v>
          </cell>
          <cell r="K101">
            <v>2.109594568155307E-16</v>
          </cell>
          <cell r="L101">
            <v>2.995573514348089E-17</v>
          </cell>
          <cell r="M101">
            <v>-7.463547569646934E-17</v>
          </cell>
          <cell r="N101">
            <v>1.0027555408199112E-16</v>
          </cell>
          <cell r="O101">
            <v>2.944801081901511E-17</v>
          </cell>
          <cell r="P101">
            <v>4.620291352638578E-17</v>
          </cell>
          <cell r="Q101">
            <v>-4.3156567579591113E-17</v>
          </cell>
          <cell r="R101">
            <v>-3.5642247577497605E-16</v>
          </cell>
          <cell r="S101">
            <v>-1.624717838290489E-17</v>
          </cell>
          <cell r="T101">
            <v>0</v>
          </cell>
          <cell r="U101">
            <v>2.2059861489748972E-16</v>
          </cell>
        </row>
        <row r="102">
          <cell r="B102">
            <v>8.36654562362596</v>
          </cell>
          <cell r="C102">
            <v>5.8056435710888215</v>
          </cell>
          <cell r="D102">
            <v>1.000000000000002</v>
          </cell>
          <cell r="E102">
            <v>-1.4300233561893708E-15</v>
          </cell>
          <cell r="F102">
            <v>8.259617660748952E-16</v>
          </cell>
          <cell r="G102">
            <v>8.506173411816085E-16</v>
          </cell>
          <cell r="H102">
            <v>-1.6026123819363639E-16</v>
          </cell>
          <cell r="I102">
            <v>-8.81436810065E-16</v>
          </cell>
          <cell r="J102">
            <v>2.7121132617384616E-16</v>
          </cell>
          <cell r="K102">
            <v>1.0848453046953846E-15</v>
          </cell>
          <cell r="L102">
            <v>9.862230042685316E-17</v>
          </cell>
          <cell r="M102">
            <v>-3.513419452706644E-16</v>
          </cell>
          <cell r="N102">
            <v>6.102254838911539E-16</v>
          </cell>
          <cell r="O102">
            <v>1.8491681330034967E-16</v>
          </cell>
          <cell r="P102">
            <v>2.8353911372720284E-16</v>
          </cell>
          <cell r="Q102">
            <v>-2.219001759604196E-16</v>
          </cell>
          <cell r="R102">
            <v>-1.701234682363217E-15</v>
          </cell>
          <cell r="S102">
            <v>-1.4793345064027973E-16</v>
          </cell>
          <cell r="T102">
            <v>0</v>
          </cell>
          <cell r="U102">
            <v>1.1732353329340652E-15</v>
          </cell>
        </row>
        <row r="103">
          <cell r="B103">
            <v>2.2970592452770235</v>
          </cell>
          <cell r="C103">
            <v>0.7811670367450723</v>
          </cell>
          <cell r="D103">
            <v>-1.2123913008005873</v>
          </cell>
          <cell r="E103">
            <v>0.9999999999999991</v>
          </cell>
          <cell r="F103">
            <v>5.969891427198518E-16</v>
          </cell>
          <cell r="G103">
            <v>-1.088529577337588E-15</v>
          </cell>
          <cell r="H103">
            <v>-8.386078360876917E-17</v>
          </cell>
          <cell r="I103">
            <v>-4.2843727071410787E-16</v>
          </cell>
          <cell r="J103">
            <v>5.563042080977757E-17</v>
          </cell>
          <cell r="K103">
            <v>3.2257341021788936E-16</v>
          </cell>
          <cell r="L103">
            <v>2.0508528268679194E-16</v>
          </cell>
          <cell r="M103">
            <v>-1.41151813994958E-16</v>
          </cell>
          <cell r="N103">
            <v>-9.13335267026199E-18</v>
          </cell>
          <cell r="O103">
            <v>-2.4909143646169062E-17</v>
          </cell>
          <cell r="P103">
            <v>9.13335267026199E-18</v>
          </cell>
          <cell r="Q103">
            <v>8.136986924415226E-17</v>
          </cell>
          <cell r="R103">
            <v>-9.938748314821456E-16</v>
          </cell>
          <cell r="S103">
            <v>1.9263071086370742E-16</v>
          </cell>
          <cell r="T103">
            <v>0</v>
          </cell>
          <cell r="U103">
            <v>3.221151463982433E-16</v>
          </cell>
        </row>
        <row r="104">
          <cell r="B104">
            <v>-0.002528340655663829</v>
          </cell>
          <cell r="C104">
            <v>-0.009320244820458031</v>
          </cell>
          <cell r="D104">
            <v>-0.024360565809025295</v>
          </cell>
          <cell r="E104">
            <v>-0.3261479208333206</v>
          </cell>
          <cell r="F104">
            <v>1.0000000000000002</v>
          </cell>
          <cell r="G104">
            <v>1.1372694835185313E-16</v>
          </cell>
          <cell r="H104">
            <v>-5.922405563889183E-18</v>
          </cell>
          <cell r="I104">
            <v>-5.556445597441314E-17</v>
          </cell>
          <cell r="J104">
            <v>-4.570309199303162E-17</v>
          </cell>
          <cell r="K104">
            <v>2.924886144052818E-17</v>
          </cell>
          <cell r="L104">
            <v>-1.5469490948130353E-16</v>
          </cell>
          <cell r="M104">
            <v>-1.6349471020123323E-16</v>
          </cell>
          <cell r="N104">
            <v>-3.076577946939225E-16</v>
          </cell>
          <cell r="O104">
            <v>5.028457554245532E-18</v>
          </cell>
          <cell r="P104">
            <v>-7.917027060406578E-17</v>
          </cell>
          <cell r="Q104">
            <v>-6.88898684931638E-17</v>
          </cell>
          <cell r="R104">
            <v>6.034149065094639E-17</v>
          </cell>
          <cell r="S104">
            <v>-3.603727913875965E-17</v>
          </cell>
          <cell r="T104">
            <v>0</v>
          </cell>
          <cell r="U104">
            <v>-3.545475904105836E-19</v>
          </cell>
        </row>
        <row r="105">
          <cell r="B105">
            <v>-0.021903104926785367</v>
          </cell>
          <cell r="C105">
            <v>0.0027203435096192978</v>
          </cell>
          <cell r="D105">
            <v>0.00593936838070616</v>
          </cell>
          <cell r="E105">
            <v>0.031473507822141075</v>
          </cell>
          <cell r="F105">
            <v>-0.3443228974869169</v>
          </cell>
          <cell r="G105">
            <v>1.0000000000000002</v>
          </cell>
          <cell r="H105">
            <v>1.6059148580602175E-16</v>
          </cell>
          <cell r="I105">
            <v>3.6810471861547317E-17</v>
          </cell>
          <cell r="J105">
            <v>1.5717009413598765E-16</v>
          </cell>
          <cell r="K105">
            <v>-1.040816143308973E-18</v>
          </cell>
          <cell r="L105">
            <v>2.0757768387497912E-16</v>
          </cell>
          <cell r="M105">
            <v>4.474343811852019E-17</v>
          </cell>
          <cell r="N105">
            <v>1.858439617994799E-16</v>
          </cell>
          <cell r="O105">
            <v>7.2404601273667685E-19</v>
          </cell>
          <cell r="P105">
            <v>2.581607999200886E-17</v>
          </cell>
          <cell r="Q105">
            <v>1.4083243467434982E-17</v>
          </cell>
          <cell r="R105">
            <v>9.459222340639388E-18</v>
          </cell>
          <cell r="S105">
            <v>1.5646524631298262E-18</v>
          </cell>
          <cell r="T105">
            <v>0</v>
          </cell>
          <cell r="U105">
            <v>-3.071458372079024E-18</v>
          </cell>
        </row>
        <row r="106">
          <cell r="B106">
            <v>0.03964992849857982</v>
          </cell>
          <cell r="C106">
            <v>-0.005504687702497458</v>
          </cell>
          <cell r="D106">
            <v>-0.01018243944542984</v>
          </cell>
          <cell r="E106">
            <v>-0.050985027515216635</v>
          </cell>
          <cell r="F106">
            <v>0.7205621543041799</v>
          </cell>
          <cell r="G106">
            <v>-3.208734965455447</v>
          </cell>
          <cell r="H106">
            <v>0.9999999999999989</v>
          </cell>
          <cell r="I106">
            <v>-5.662569865368465E-16</v>
          </cell>
          <cell r="J106">
            <v>-7.310923804603078E-16</v>
          </cell>
          <cell r="K106">
            <v>-1.844369479575013E-16</v>
          </cell>
          <cell r="L106">
            <v>-7.057471152442004E-16</v>
          </cell>
          <cell r="M106">
            <v>-6.828634405346933E-17</v>
          </cell>
          <cell r="N106">
            <v>-4.619584850720015E-16</v>
          </cell>
          <cell r="O106">
            <v>-3.737970769282033E-18</v>
          </cell>
          <cell r="P106">
            <v>-5.360797103263013E-17</v>
          </cell>
          <cell r="Q106">
            <v>-2.990376615425626E-17</v>
          </cell>
          <cell r="R106">
            <v>-3.282120675467151E-17</v>
          </cell>
          <cell r="S106">
            <v>1.0028702063927406E-18</v>
          </cell>
          <cell r="T106">
            <v>0</v>
          </cell>
          <cell r="U106">
            <v>5.560084072389589E-18</v>
          </cell>
        </row>
        <row r="107">
          <cell r="B107">
            <v>0.6289709305097705</v>
          </cell>
          <cell r="C107">
            <v>-0.09475175487057057</v>
          </cell>
          <cell r="D107">
            <v>-0.16362879911709935</v>
          </cell>
          <cell r="E107">
            <v>-0.8308966034953681</v>
          </cell>
          <cell r="F107">
            <v>10.67812398040893</v>
          </cell>
          <cell r="G107">
            <v>-40.563756526998134</v>
          </cell>
          <cell r="H107">
            <v>7.639199737061327</v>
          </cell>
          <cell r="I107">
            <v>0.9999999999999953</v>
          </cell>
          <cell r="J107">
            <v>-8.005035236745395E-15</v>
          </cell>
          <cell r="K107">
            <v>-1.446454386837658E-15</v>
          </cell>
          <cell r="L107">
            <v>-8.660893321736169E-15</v>
          </cell>
          <cell r="M107">
            <v>-1.1769779531254368E-15</v>
          </cell>
          <cell r="N107">
            <v>-6.404028189396316E-15</v>
          </cell>
          <cell r="O107">
            <v>-3.962888731062077E-17</v>
          </cell>
          <cell r="P107">
            <v>-7.965406349434774E-16</v>
          </cell>
          <cell r="Q107">
            <v>-4.3591776041682843E-16</v>
          </cell>
          <cell r="R107">
            <v>-4.0421465056833185E-16</v>
          </cell>
          <cell r="S107">
            <v>-1.188866619318623E-17</v>
          </cell>
          <cell r="T107">
            <v>0</v>
          </cell>
          <cell r="U107">
            <v>8.82001906472215E-17</v>
          </cell>
        </row>
        <row r="108">
          <cell r="B108">
            <v>-5.552577364874089</v>
          </cell>
          <cell r="C108">
            <v>0.620120841609074</v>
          </cell>
          <cell r="D108">
            <v>1.5123724091134034</v>
          </cell>
          <cell r="E108">
            <v>8.213008449801363</v>
          </cell>
          <cell r="F108">
            <v>-86.07410287434493</v>
          </cell>
          <cell r="G108">
            <v>232.5880908763263</v>
          </cell>
          <cell r="H108">
            <v>10.727273725507265</v>
          </cell>
          <cell r="I108">
            <v>3.849245056568677</v>
          </cell>
          <cell r="J108">
            <v>1.0000000000000346</v>
          </cell>
          <cell r="K108">
            <v>-2.3082641134245432E-15</v>
          </cell>
          <cell r="L108">
            <v>4.81657778334588E-14</v>
          </cell>
          <cell r="M108">
            <v>1.1541320567122716E-14</v>
          </cell>
          <cell r="N108">
            <v>4.524197662312105E-14</v>
          </cell>
          <cell r="O108">
            <v>1.5388427422830288E-16</v>
          </cell>
          <cell r="P108">
            <v>6.463139517588721E-15</v>
          </cell>
          <cell r="Q108">
            <v>3.539338307250966E-15</v>
          </cell>
          <cell r="R108">
            <v>2.1543798391962404E-15</v>
          </cell>
          <cell r="S108">
            <v>4.616528226849086E-16</v>
          </cell>
          <cell r="T108">
            <v>0</v>
          </cell>
          <cell r="U108">
            <v>-7.78634366724099E-16</v>
          </cell>
        </row>
        <row r="109">
          <cell r="B109">
            <v>-0.8216298897798302</v>
          </cell>
          <cell r="C109">
            <v>-0.0035565769938957444</v>
          </cell>
          <cell r="D109">
            <v>0.21186068129901814</v>
          </cell>
          <cell r="E109">
            <v>1.6117914470540835</v>
          </cell>
          <cell r="F109">
            <v>-12.385940087668018</v>
          </cell>
          <cell r="G109">
            <v>18.8781546709775</v>
          </cell>
          <cell r="H109">
            <v>6.537679253077697</v>
          </cell>
          <cell r="I109">
            <v>4.029810971488102</v>
          </cell>
          <cell r="J109">
            <v>2.2419678636994913</v>
          </cell>
          <cell r="K109">
            <v>0.9999999999999987</v>
          </cell>
          <cell r="L109">
            <v>4.189826341605487E-15</v>
          </cell>
          <cell r="M109">
            <v>1.915349184733937E-15</v>
          </cell>
          <cell r="N109">
            <v>5.42967291208058E-15</v>
          </cell>
          <cell r="O109">
            <v>0</v>
          </cell>
          <cell r="P109">
            <v>9.405732603604154E-16</v>
          </cell>
          <cell r="Q109">
            <v>5.472426242096962E-16</v>
          </cell>
          <cell r="R109">
            <v>1.0260799203931805E-16</v>
          </cell>
          <cell r="S109">
            <v>1.3681065605242405E-16</v>
          </cell>
          <cell r="T109">
            <v>0</v>
          </cell>
          <cell r="U109">
            <v>-1.1521663308239527E-16</v>
          </cell>
        </row>
        <row r="110">
          <cell r="B110">
            <v>-0.4888350632507916</v>
          </cell>
          <cell r="C110">
            <v>-0.051169848493986154</v>
          </cell>
          <cell r="D110">
            <v>0.1384507742129712</v>
          </cell>
          <cell r="E110">
            <v>1.7071111997644681</v>
          </cell>
          <cell r="F110">
            <v>-9.141762255829226</v>
          </cell>
          <cell r="G110">
            <v>5.899698126373106</v>
          </cell>
          <cell r="H110">
            <v>3.6119031042501546</v>
          </cell>
          <cell r="I110">
            <v>2.9536513779138605</v>
          </cell>
          <cell r="J110">
            <v>2.3345882813514045</v>
          </cell>
          <cell r="K110">
            <v>1.753643038805757</v>
          </cell>
          <cell r="L110">
            <v>1.000000000000002</v>
          </cell>
          <cell r="M110">
            <v>1.5138338794206466E-15</v>
          </cell>
          <cell r="N110">
            <v>3.3520607330028603E-15</v>
          </cell>
          <cell r="O110">
            <v>-1.544728448388415E-17</v>
          </cell>
          <cell r="P110">
            <v>7.105750862586709E-16</v>
          </cell>
          <cell r="Q110">
            <v>4.634185345165244E-16</v>
          </cell>
          <cell r="R110">
            <v>-1.235782758710732E-16</v>
          </cell>
          <cell r="S110">
            <v>1.6992012932272562E-16</v>
          </cell>
          <cell r="T110">
            <v>0</v>
          </cell>
          <cell r="U110">
            <v>-6.854902775685141E-17</v>
          </cell>
        </row>
        <row r="111">
          <cell r="B111">
            <v>-0.33901323341283024</v>
          </cell>
          <cell r="C111">
            <v>0.23090095503143068</v>
          </cell>
          <cell r="D111">
            <v>0.9147997809747325</v>
          </cell>
          <cell r="E111">
            <v>12.294649101042259</v>
          </cell>
          <cell r="F111">
            <v>-41.033969345095656</v>
          </cell>
          <cell r="G111">
            <v>2.6614963329866264</v>
          </cell>
          <cell r="H111">
            <v>2.1462447645223746</v>
          </cell>
          <cell r="I111">
            <v>2.048554792663374</v>
          </cell>
          <cell r="J111">
            <v>1.9470944534334083</v>
          </cell>
          <cell r="K111">
            <v>1.830184474107319</v>
          </cell>
          <cell r="L111">
            <v>1.5707588900827256</v>
          </cell>
          <cell r="M111">
            <v>1.000000000000007</v>
          </cell>
          <cell r="N111">
            <v>1.288000955216927E-14</v>
          </cell>
          <cell r="O111">
            <v>-1.8465963515654868E-16</v>
          </cell>
          <cell r="P111">
            <v>3.2315436152396017E-15</v>
          </cell>
          <cell r="Q111">
            <v>2.677564709769956E-15</v>
          </cell>
          <cell r="R111">
            <v>-2.1235858043003098E-15</v>
          </cell>
          <cell r="S111">
            <v>1.338782354884978E-15</v>
          </cell>
          <cell r="T111">
            <v>0</v>
          </cell>
          <cell r="U111">
            <v>-4.753960853916266E-17</v>
          </cell>
        </row>
        <row r="112">
          <cell r="B112">
            <v>-0.5018489030989163</v>
          </cell>
          <cell r="C112">
            <v>-0.2147459261687807</v>
          </cell>
          <cell r="D112">
            <v>-0.19369346043445246</v>
          </cell>
          <cell r="E112">
            <v>-3.3537507832577154</v>
          </cell>
          <cell r="F112">
            <v>6.332256069165629</v>
          </cell>
          <cell r="G112">
            <v>1.6331404764509738</v>
          </cell>
          <cell r="H112">
            <v>1.3904096766625063</v>
          </cell>
          <cell r="I112">
            <v>1.450130960283306</v>
          </cell>
          <cell r="J112">
            <v>1.5292088675946973</v>
          </cell>
          <cell r="K112">
            <v>1.6134070369744724</v>
          </cell>
          <cell r="L112">
            <v>1.6372894098806183</v>
          </cell>
          <cell r="M112">
            <v>1.4819147266587174</v>
          </cell>
          <cell r="N112">
            <v>0.9999999999999982</v>
          </cell>
          <cell r="O112">
            <v>5.927177277624999E-17</v>
          </cell>
          <cell r="P112">
            <v>-5.186280117921874E-16</v>
          </cell>
          <cell r="Q112">
            <v>-6.22353614150625E-16</v>
          </cell>
          <cell r="R112">
            <v>8.001689324793749E-16</v>
          </cell>
          <cell r="S112">
            <v>-4.0008446623968744E-16</v>
          </cell>
          <cell r="T112">
            <v>0</v>
          </cell>
          <cell r="U112">
            <v>-7.037395018168395E-17</v>
          </cell>
        </row>
        <row r="113">
          <cell r="B113">
            <v>-0.7726335998768875</v>
          </cell>
          <cell r="C113">
            <v>-0.16750071759339388</v>
          </cell>
          <cell r="D113">
            <v>0.12769877096196494</v>
          </cell>
          <cell r="E113">
            <v>-3.0064248554548754</v>
          </cell>
          <cell r="F113">
            <v>2.962790044931198</v>
          </cell>
          <cell r="G113">
            <v>1.3238797142527243</v>
          </cell>
          <cell r="H113">
            <v>1.0975987795615538</v>
          </cell>
          <cell r="I113">
            <v>1.085136948093036</v>
          </cell>
          <cell r="J113">
            <v>1.2130929773170864</v>
          </cell>
          <cell r="K113">
            <v>1.3744268162267463</v>
          </cell>
          <cell r="L113">
            <v>1.530695264280572</v>
          </cell>
          <cell r="M113">
            <v>1.613179415236215</v>
          </cell>
          <cell r="N113">
            <v>1.5179775436687726</v>
          </cell>
          <cell r="O113">
            <v>1.0000000000000002</v>
          </cell>
          <cell r="P113">
            <v>-2.552994023026678E-16</v>
          </cell>
          <cell r="Q113">
            <v>-5.105988046053356E-16</v>
          </cell>
          <cell r="R113">
            <v>9.03367115840209E-16</v>
          </cell>
          <cell r="S113">
            <v>-3.9276831123487357E-16</v>
          </cell>
          <cell r="T113">
            <v>0</v>
          </cell>
          <cell r="U113">
            <v>-1.0834591473783651E-16</v>
          </cell>
        </row>
        <row r="114">
          <cell r="B114">
            <v>-2.101071182386513</v>
          </cell>
          <cell r="C114">
            <v>-0.18081450337335137</v>
          </cell>
          <cell r="D114">
            <v>1.3077443835777027</v>
          </cell>
          <cell r="E114">
            <v>-4.516568968645771</v>
          </cell>
          <cell r="F114">
            <v>1.9728718116981276</v>
          </cell>
          <cell r="G114">
            <v>1.134521078527915</v>
          </cell>
          <cell r="H114">
            <v>0.9320954922619122</v>
          </cell>
          <cell r="I114">
            <v>0.8594703968121753</v>
          </cell>
          <cell r="J114">
            <v>0.8627813379823355</v>
          </cell>
          <cell r="K114">
            <v>1.0233852081282342</v>
          </cell>
          <cell r="L114">
            <v>1.2064287826838123</v>
          </cell>
          <cell r="M114">
            <v>1.3806761024275311</v>
          </cell>
          <cell r="N114">
            <v>1.4880520928185181</v>
          </cell>
          <cell r="O114">
            <v>1.3903434496346305</v>
          </cell>
          <cell r="P114">
            <v>0.9999999999999998</v>
          </cell>
          <cell r="Q114">
            <v>-6.731416907574472E-16</v>
          </cell>
          <cell r="R114">
            <v>1.803058100243162E-15</v>
          </cell>
          <cell r="S114">
            <v>-6.731416907574472E-16</v>
          </cell>
          <cell r="T114">
            <v>0</v>
          </cell>
          <cell r="U114">
            <v>-2.9463186589510013E-16</v>
          </cell>
        </row>
        <row r="115">
          <cell r="B115">
            <v>-30.867840864789752</v>
          </cell>
          <cell r="C115">
            <v>-8.127932677573945</v>
          </cell>
          <cell r="D115">
            <v>19.960492608898388</v>
          </cell>
          <cell r="E115">
            <v>-22.266519248944785</v>
          </cell>
          <cell r="F115">
            <v>1.6735306769300013</v>
          </cell>
          <cell r="G115">
            <v>1.1287288705790217</v>
          </cell>
          <cell r="H115">
            <v>0.9527626461114649</v>
          </cell>
          <cell r="I115">
            <v>0.8558746506603535</v>
          </cell>
          <cell r="J115">
            <v>0.7840403732423472</v>
          </cell>
          <cell r="K115">
            <v>0.8120371614631858</v>
          </cell>
          <cell r="L115">
            <v>0.9904214275629492</v>
          </cell>
          <cell r="M115">
            <v>1.1912569881170008</v>
          </cell>
          <cell r="N115">
            <v>1.3791087302081027</v>
          </cell>
          <cell r="O115">
            <v>1.4891828163444003</v>
          </cell>
          <cell r="P115">
            <v>1.4509530597633638</v>
          </cell>
          <cell r="Q115">
            <v>0.9999999999999974</v>
          </cell>
          <cell r="R115">
            <v>1.6164610053655543E-14</v>
          </cell>
          <cell r="S115">
            <v>-4.041152513413886E-15</v>
          </cell>
          <cell r="T115">
            <v>0</v>
          </cell>
          <cell r="U115">
            <v>-4.328577549579182E-15</v>
          </cell>
        </row>
        <row r="116">
          <cell r="B116">
            <v>275.06114504142937</v>
          </cell>
          <cell r="C116">
            <v>159.1142252595594</v>
          </cell>
          <cell r="D116">
            <v>-30.81477387133822</v>
          </cell>
          <cell r="E116">
            <v>7.145882644637061</v>
          </cell>
          <cell r="F116">
            <v>1.4042158765359551</v>
          </cell>
          <cell r="G116">
            <v>1.0661806195466794</v>
          </cell>
          <cell r="H116">
            <v>0.9423288469295298</v>
          </cell>
          <cell r="I116">
            <v>0.8567911992325022</v>
          </cell>
          <cell r="J116">
            <v>0.7624220610698705</v>
          </cell>
          <cell r="K116">
            <v>0.7068032180331151</v>
          </cell>
          <cell r="L116">
            <v>0.7344782724565985</v>
          </cell>
          <cell r="M116">
            <v>0.9133880850718534</v>
          </cell>
          <cell r="N116">
            <v>1.1062496202356351</v>
          </cell>
          <cell r="O116">
            <v>1.2959481618171056</v>
          </cell>
          <cell r="P116">
            <v>1.435032881101395</v>
          </cell>
          <cell r="Q116">
            <v>1.3847289679288743</v>
          </cell>
          <cell r="R116">
            <v>0.9999999999999298</v>
          </cell>
          <cell r="S116">
            <v>0</v>
          </cell>
          <cell r="T116">
            <v>0</v>
          </cell>
          <cell r="U116">
            <v>3.857164815651208E-14</v>
          </cell>
        </row>
        <row r="117">
          <cell r="B117">
            <v>43.100504435749905</v>
          </cell>
          <cell r="C117">
            <v>34.28936870716745</v>
          </cell>
          <cell r="D117">
            <v>14.836469699266937</v>
          </cell>
          <cell r="E117">
            <v>3.0598280964908278</v>
          </cell>
          <cell r="F117">
            <v>1.2151979345286903</v>
          </cell>
          <cell r="G117">
            <v>1.0087749028253876</v>
          </cell>
          <cell r="H117">
            <v>0.9364010331011042</v>
          </cell>
          <cell r="I117">
            <v>0.8770159814225416</v>
          </cell>
          <cell r="J117">
            <v>0.7945258847542566</v>
          </cell>
          <cell r="K117">
            <v>0.7131815278782772</v>
          </cell>
          <cell r="L117">
            <v>0.6586386056315735</v>
          </cell>
          <cell r="M117">
            <v>0.6834257030900993</v>
          </cell>
          <cell r="N117">
            <v>0.8527974336383954</v>
          </cell>
          <cell r="O117">
            <v>1.0505992000165498</v>
          </cell>
          <cell r="P117">
            <v>1.2457495296714811</v>
          </cell>
          <cell r="Q117">
            <v>1.3801317401548452</v>
          </cell>
          <cell r="R117">
            <v>1.367467135323865</v>
          </cell>
          <cell r="S117">
            <v>0.999999999999999</v>
          </cell>
          <cell r="T117">
            <v>0</v>
          </cell>
          <cell r="U117">
            <v>6.043956125513608E-15</v>
          </cell>
        </row>
        <row r="118">
          <cell r="B118">
            <v>7.011685587357491</v>
          </cell>
          <cell r="C118">
            <v>6.317244047463662</v>
          </cell>
          <cell r="D118">
            <v>4.280881455543837</v>
          </cell>
          <cell r="E118">
            <v>1.9508470777152638</v>
          </cell>
          <cell r="F118">
            <v>1.0569574016925318</v>
          </cell>
          <cell r="G118">
            <v>0.9293757541640915</v>
          </cell>
          <cell r="H118">
            <v>0.9010785724165576</v>
          </cell>
          <cell r="I118">
            <v>0.8726588563910551</v>
          </cell>
          <cell r="J118">
            <v>0.8198776820789992</v>
          </cell>
          <cell r="K118">
            <v>0.7500882887881243</v>
          </cell>
          <cell r="L118">
            <v>0.6734150145571536</v>
          </cell>
          <cell r="M118">
            <v>0.6177402123993929</v>
          </cell>
          <cell r="N118">
            <v>0.6345030685051947</v>
          </cell>
          <cell r="O118">
            <v>0.7984245407633456</v>
          </cell>
          <cell r="P118">
            <v>0.9872891032527183</v>
          </cell>
          <cell r="Q118">
            <v>1.1786113239961415</v>
          </cell>
          <cell r="R118">
            <v>1.3303730677987307</v>
          </cell>
          <cell r="S118">
            <v>1.3340996901422253</v>
          </cell>
          <cell r="T118">
            <v>1</v>
          </cell>
          <cell r="U118">
            <v>9.83244178013237E-16</v>
          </cell>
        </row>
        <row r="119">
          <cell r="B119">
            <v>3.1668775486659837</v>
          </cell>
          <cell r="C119">
            <v>3.0045142664994158</v>
          </cell>
          <cell r="D119">
            <v>2.3871264581041745</v>
          </cell>
          <cell r="E119">
            <v>1.4515178918066758</v>
          </cell>
          <cell r="F119">
            <v>0.9337105738559531</v>
          </cell>
          <cell r="G119">
            <v>0.849428668538997</v>
          </cell>
          <cell r="H119">
            <v>0.8433472777405735</v>
          </cell>
          <cell r="I119">
            <v>0.842158469555893</v>
          </cell>
          <cell r="J119">
            <v>0.8217646657822284</v>
          </cell>
          <cell r="K119">
            <v>0.7790714794028585</v>
          </cell>
          <cell r="L119">
            <v>0.7148476831191484</v>
          </cell>
          <cell r="M119">
            <v>0.638869884326163</v>
          </cell>
          <cell r="N119">
            <v>0.5812459242511714</v>
          </cell>
          <cell r="O119">
            <v>0.5849245211835635</v>
          </cell>
          <cell r="P119">
            <v>0.7435375468094072</v>
          </cell>
          <cell r="Q119">
            <v>0.929134357847217</v>
          </cell>
          <cell r="R119">
            <v>1.1247917755848449</v>
          </cell>
          <cell r="S119">
            <v>1.283416751663937</v>
          </cell>
          <cell r="T119">
            <v>1.3082344444905551</v>
          </cell>
          <cell r="U119">
            <v>1.0000000000000004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out ..."/>
      <sheetName val="Data_File"/>
      <sheetName val="Flowsheet"/>
      <sheetName val="Reports"/>
      <sheetName val="Mill_Power"/>
      <sheetName val="SiE"/>
      <sheetName val="Bij"/>
      <sheetName val="J&amp;T"/>
      <sheetName val="C"/>
      <sheetName val="M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57"/>
  <sheetViews>
    <sheetView workbookViewId="0" topLeftCell="A1">
      <selection activeCell="A1" sqref="A1"/>
    </sheetView>
  </sheetViews>
  <sheetFormatPr defaultColWidth="11.421875" defaultRowHeight="12.75"/>
  <cols>
    <col min="1" max="1" width="1.7109375" style="0" customWidth="1"/>
    <col min="2" max="12" width="9.140625" style="0" customWidth="1"/>
    <col min="13" max="13" width="1.7109375" style="0" customWidth="1"/>
    <col min="14" max="16384" width="9.140625" style="0" customWidth="1"/>
  </cols>
  <sheetData>
    <row r="1" ht="12.75">
      <c r="B1" s="191" t="s">
        <v>206</v>
      </c>
    </row>
    <row r="2" ht="12.75">
      <c r="B2" s="118" t="s">
        <v>214</v>
      </c>
    </row>
    <row r="56" ht="12.75">
      <c r="B56" s="191" t="s">
        <v>206</v>
      </c>
    </row>
    <row r="57" ht="12.75">
      <c r="B57" s="118" t="s">
        <v>150</v>
      </c>
    </row>
  </sheetData>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sheetPr codeName="Sheet12"/>
  <dimension ref="B2:AJ50"/>
  <sheetViews>
    <sheetView workbookViewId="0" topLeftCell="A1">
      <selection activeCell="A1" sqref="A1"/>
    </sheetView>
  </sheetViews>
  <sheetFormatPr defaultColWidth="11.421875" defaultRowHeight="12.75"/>
  <cols>
    <col min="1" max="2" width="1.7109375" style="0" customWidth="1"/>
    <col min="3" max="7" width="8.7109375" style="0" customWidth="1"/>
    <col min="8" max="8" width="10.7109375" style="0" customWidth="1"/>
    <col min="9" max="16" width="8.7109375" style="0" customWidth="1"/>
    <col min="17" max="17" width="1.7109375" style="0" customWidth="1"/>
    <col min="18" max="23" width="10.7109375" style="0" customWidth="1"/>
    <col min="24" max="25" width="9.140625" style="0" customWidth="1"/>
    <col min="26" max="26" width="13.7109375" style="0" bestFit="1" customWidth="1"/>
    <col min="27" max="29" width="10.7109375" style="0" customWidth="1"/>
    <col min="30" max="30" width="9.140625" style="0" customWidth="1"/>
    <col min="31" max="33" width="10.7109375" style="0" customWidth="1"/>
    <col min="34" max="34" width="9.140625" style="0" customWidth="1"/>
    <col min="35" max="37" width="10.7109375" style="0" customWidth="1"/>
    <col min="38" max="16384" width="9.140625" style="0" customWidth="1"/>
  </cols>
  <sheetData>
    <row r="1" ht="7.5" customHeight="1" thickBot="1"/>
    <row r="2" spans="2:17" ht="24.75" customHeight="1" thickTop="1">
      <c r="B2" s="82"/>
      <c r="C2" s="122" t="s">
        <v>205</v>
      </c>
      <c r="D2" s="75"/>
      <c r="E2" s="75"/>
      <c r="F2" s="75"/>
      <c r="G2" s="75"/>
      <c r="H2" s="75"/>
      <c r="I2" s="75"/>
      <c r="J2" s="75"/>
      <c r="K2" s="75"/>
      <c r="L2" s="75"/>
      <c r="M2" s="75"/>
      <c r="N2" s="75"/>
      <c r="O2" s="75"/>
      <c r="P2" s="75"/>
      <c r="Q2" s="76"/>
    </row>
    <row r="3" spans="2:17" ht="12.75" customHeight="1">
      <c r="B3" s="42"/>
      <c r="C3" s="192"/>
      <c r="D3" s="35"/>
      <c r="E3" s="35"/>
      <c r="F3" s="35"/>
      <c r="G3" s="35"/>
      <c r="H3" s="35"/>
      <c r="I3" s="35"/>
      <c r="J3" s="35"/>
      <c r="K3" s="35"/>
      <c r="L3" s="35"/>
      <c r="M3" s="35"/>
      <c r="N3" s="35"/>
      <c r="O3" s="35"/>
      <c r="P3" s="35"/>
      <c r="Q3" s="36"/>
    </row>
    <row r="4" spans="2:17" ht="15.75">
      <c r="B4" s="42"/>
      <c r="C4" s="35"/>
      <c r="D4" s="215" t="s">
        <v>148</v>
      </c>
      <c r="E4" s="215"/>
      <c r="F4" s="215"/>
      <c r="G4" s="215"/>
      <c r="H4" s="215"/>
      <c r="I4" s="215"/>
      <c r="J4" s="215"/>
      <c r="K4" s="215"/>
      <c r="L4" s="215"/>
      <c r="M4" s="215"/>
      <c r="N4" s="215"/>
      <c r="O4" s="215"/>
      <c r="P4" s="35"/>
      <c r="Q4" s="36"/>
    </row>
    <row r="5" spans="2:17" ht="12.75">
      <c r="B5" s="42"/>
      <c r="C5" s="35"/>
      <c r="D5" s="35"/>
      <c r="E5" s="35"/>
      <c r="F5" s="35"/>
      <c r="G5" s="35"/>
      <c r="H5" s="35"/>
      <c r="I5" s="35"/>
      <c r="J5" s="35"/>
      <c r="K5" s="35"/>
      <c r="L5" s="35"/>
      <c r="M5" s="35"/>
      <c r="N5" s="35"/>
      <c r="O5" s="35"/>
      <c r="P5" s="35"/>
      <c r="Q5" s="36"/>
    </row>
    <row r="6" spans="2:17" ht="12.75">
      <c r="B6" s="42"/>
      <c r="C6" s="78" t="s">
        <v>101</v>
      </c>
      <c r="D6" s="35"/>
      <c r="E6" s="165">
        <f>Data_File!T5</f>
        <v>1</v>
      </c>
      <c r="F6" s="35"/>
      <c r="G6" s="35"/>
      <c r="H6" s="35"/>
      <c r="I6" s="35"/>
      <c r="J6" s="35"/>
      <c r="K6" s="35"/>
      <c r="L6" s="35"/>
      <c r="M6" s="35"/>
      <c r="N6" s="35"/>
      <c r="O6" s="35"/>
      <c r="P6" s="35"/>
      <c r="Q6" s="36"/>
    </row>
    <row r="7" spans="2:36" ht="12.75">
      <c r="B7" s="42"/>
      <c r="C7" s="35"/>
      <c r="D7" s="35"/>
      <c r="E7" s="35"/>
      <c r="F7" s="35"/>
      <c r="G7" s="35"/>
      <c r="H7" s="35"/>
      <c r="I7" s="35"/>
      <c r="J7" s="35"/>
      <c r="K7" s="35"/>
      <c r="L7" s="35"/>
      <c r="M7" s="35"/>
      <c r="N7" s="35"/>
      <c r="O7" s="35"/>
      <c r="P7" s="35"/>
      <c r="Q7" s="36"/>
      <c r="R7" s="73"/>
      <c r="S7" s="73"/>
      <c r="T7" s="73"/>
      <c r="U7" s="73"/>
      <c r="V7" s="73"/>
      <c r="W7" s="73"/>
      <c r="X7" s="73"/>
      <c r="Y7" s="73"/>
      <c r="Z7" s="73"/>
      <c r="AA7" s="73"/>
      <c r="AB7" s="73"/>
      <c r="AC7" s="73"/>
      <c r="AD7" s="73"/>
      <c r="AE7" s="73"/>
      <c r="AF7" s="73"/>
      <c r="AG7" s="73"/>
      <c r="AH7" s="73"/>
      <c r="AI7" s="73"/>
      <c r="AJ7" s="73"/>
    </row>
    <row r="8" spans="2:36" ht="12.75">
      <c r="B8" s="42"/>
      <c r="C8" s="78" t="s">
        <v>137</v>
      </c>
      <c r="D8" s="35"/>
      <c r="E8" s="35"/>
      <c r="F8" s="35"/>
      <c r="G8" s="35"/>
      <c r="H8" s="35"/>
      <c r="I8" s="35"/>
      <c r="J8" s="35"/>
      <c r="K8" s="35"/>
      <c r="L8" s="35"/>
      <c r="M8" s="35"/>
      <c r="N8" s="35"/>
      <c r="O8" s="35"/>
      <c r="P8" s="35"/>
      <c r="Q8" s="36"/>
      <c r="R8" s="73"/>
      <c r="S8" s="73"/>
      <c r="T8" s="73"/>
      <c r="U8" s="73"/>
      <c r="V8" s="73"/>
      <c r="W8" s="73"/>
      <c r="X8" s="73"/>
      <c r="Y8" s="73"/>
      <c r="Z8" s="73"/>
      <c r="AA8" s="73"/>
      <c r="AB8" s="73"/>
      <c r="AC8" s="73"/>
      <c r="AD8" s="73"/>
      <c r="AE8" s="73"/>
      <c r="AF8" s="73"/>
      <c r="AG8" s="73"/>
      <c r="AH8" s="73"/>
      <c r="AI8" s="73"/>
      <c r="AJ8" s="73"/>
    </row>
    <row r="9" spans="2:36" ht="12.75">
      <c r="B9" s="42"/>
      <c r="C9" s="92" t="s">
        <v>138</v>
      </c>
      <c r="D9" s="34"/>
      <c r="E9" s="35"/>
      <c r="F9" s="40"/>
      <c r="G9" s="40"/>
      <c r="H9" s="35"/>
      <c r="I9" s="35"/>
      <c r="J9" s="35"/>
      <c r="K9" s="35"/>
      <c r="L9" s="35"/>
      <c r="M9" s="35"/>
      <c r="N9" s="35"/>
      <c r="O9" s="35"/>
      <c r="P9" s="35"/>
      <c r="Q9" s="36"/>
      <c r="R9" s="73"/>
      <c r="S9" s="73"/>
      <c r="T9" s="73"/>
      <c r="U9" s="73"/>
      <c r="V9" s="73"/>
      <c r="W9" s="73"/>
      <c r="X9" s="73"/>
      <c r="Y9" s="73"/>
      <c r="Z9" s="73"/>
      <c r="AA9" s="73"/>
      <c r="AB9" s="73"/>
      <c r="AC9" s="73"/>
      <c r="AD9" s="73"/>
      <c r="AE9" s="73"/>
      <c r="AF9" s="73"/>
      <c r="AG9" s="73"/>
      <c r="AH9" s="73"/>
      <c r="AI9" s="73"/>
      <c r="AJ9" s="73"/>
    </row>
    <row r="10" spans="2:36" ht="12.75">
      <c r="B10" s="42"/>
      <c r="C10" s="35" t="s">
        <v>139</v>
      </c>
      <c r="D10" s="34"/>
      <c r="E10" s="48">
        <v>0</v>
      </c>
      <c r="F10" s="40"/>
      <c r="G10" s="34"/>
      <c r="H10" s="35"/>
      <c r="I10" s="77"/>
      <c r="J10" s="35"/>
      <c r="K10" s="77"/>
      <c r="L10" s="77"/>
      <c r="M10" s="77"/>
      <c r="N10" s="77"/>
      <c r="O10" s="77"/>
      <c r="P10" s="77"/>
      <c r="Q10" s="72"/>
      <c r="R10" s="74"/>
      <c r="S10" s="74"/>
      <c r="T10" s="74"/>
      <c r="U10" s="74"/>
      <c r="V10" s="74"/>
      <c r="W10" s="74"/>
      <c r="X10" s="73"/>
      <c r="Y10" s="73"/>
      <c r="Z10" s="73"/>
      <c r="AA10" s="73"/>
      <c r="AB10" s="73"/>
      <c r="AC10" s="73"/>
      <c r="AD10" s="73"/>
      <c r="AE10" s="73"/>
      <c r="AF10" s="73"/>
      <c r="AG10" s="73"/>
      <c r="AH10" s="73"/>
      <c r="AI10" s="73"/>
      <c r="AJ10" s="73"/>
    </row>
    <row r="11" spans="2:36" ht="12.75">
      <c r="B11" s="42"/>
      <c r="C11" s="35" t="s">
        <v>140</v>
      </c>
      <c r="D11" s="34"/>
      <c r="E11" s="205">
        <v>1</v>
      </c>
      <c r="F11" s="40"/>
      <c r="G11" s="34"/>
      <c r="H11" s="35"/>
      <c r="I11" s="35"/>
      <c r="J11" s="35"/>
      <c r="K11" s="35"/>
      <c r="L11" s="35"/>
      <c r="M11" s="35"/>
      <c r="N11" s="39"/>
      <c r="O11" s="39"/>
      <c r="P11" s="39"/>
      <c r="Q11" s="54"/>
      <c r="R11" s="73"/>
      <c r="S11" s="73"/>
      <c r="T11" s="73"/>
      <c r="U11" s="73"/>
      <c r="V11" s="73"/>
      <c r="W11" s="73"/>
      <c r="X11" s="73"/>
      <c r="Y11" s="73"/>
      <c r="Z11" s="73"/>
      <c r="AA11" s="73"/>
      <c r="AB11" s="73"/>
      <c r="AC11" s="73"/>
      <c r="AD11" s="73"/>
      <c r="AE11" s="73"/>
      <c r="AF11" s="73"/>
      <c r="AG11" s="73"/>
      <c r="AH11" s="73"/>
      <c r="AI11" s="73"/>
      <c r="AJ11" s="73"/>
    </row>
    <row r="12" spans="2:36" ht="12.75">
      <c r="B12" s="42"/>
      <c r="C12" s="35" t="s">
        <v>141</v>
      </c>
      <c r="D12" s="34"/>
      <c r="E12" s="48">
        <f>E11</f>
        <v>1</v>
      </c>
      <c r="F12" s="40"/>
      <c r="G12" s="34"/>
      <c r="H12" s="35"/>
      <c r="I12" s="35"/>
      <c r="J12" s="35"/>
      <c r="K12" s="35"/>
      <c r="L12" s="35"/>
      <c r="M12" s="35"/>
      <c r="N12" s="39"/>
      <c r="O12" s="39"/>
      <c r="P12" s="39"/>
      <c r="Q12" s="54"/>
      <c r="R12" s="73"/>
      <c r="S12" s="73"/>
      <c r="T12" s="73"/>
      <c r="U12" s="73"/>
      <c r="V12" s="73"/>
      <c r="W12" s="73"/>
      <c r="X12" s="73"/>
      <c r="Y12" s="73"/>
      <c r="Z12" s="73"/>
      <c r="AA12" s="73"/>
      <c r="AB12" s="73"/>
      <c r="AC12" s="73"/>
      <c r="AD12" s="73"/>
      <c r="AE12" s="73"/>
      <c r="AF12" s="73"/>
      <c r="AG12" s="73"/>
      <c r="AH12" s="73"/>
      <c r="AI12" s="73"/>
      <c r="AJ12" s="73"/>
    </row>
    <row r="13" spans="2:36" ht="12.75">
      <c r="B13" s="42"/>
      <c r="C13" s="35" t="s">
        <v>142</v>
      </c>
      <c r="D13" s="34"/>
      <c r="E13" s="205">
        <v>1</v>
      </c>
      <c r="F13" s="40"/>
      <c r="G13" s="34"/>
      <c r="H13" s="35"/>
      <c r="I13" s="35"/>
      <c r="J13" s="35"/>
      <c r="K13" s="35"/>
      <c r="L13" s="35"/>
      <c r="M13" s="35"/>
      <c r="N13" s="39"/>
      <c r="O13" s="39"/>
      <c r="P13" s="39"/>
      <c r="Q13" s="54"/>
      <c r="R13" s="73"/>
      <c r="S13" s="73"/>
      <c r="T13" s="73"/>
      <c r="U13" s="73"/>
      <c r="V13" s="73"/>
      <c r="W13" s="73"/>
      <c r="X13" s="73"/>
      <c r="Y13" s="73"/>
      <c r="Z13" s="73"/>
      <c r="AA13" s="73"/>
      <c r="AB13" s="73"/>
      <c r="AC13" s="73"/>
      <c r="AD13" s="73"/>
      <c r="AE13" s="73"/>
      <c r="AF13" s="73"/>
      <c r="AG13" s="73"/>
      <c r="AH13" s="73"/>
      <c r="AI13" s="73"/>
      <c r="AJ13" s="73"/>
    </row>
    <row r="14" spans="2:36" ht="12.75">
      <c r="B14" s="42"/>
      <c r="C14" s="35" t="s">
        <v>143</v>
      </c>
      <c r="D14" s="34"/>
      <c r="E14" s="205">
        <v>1</v>
      </c>
      <c r="F14" s="40"/>
      <c r="G14" s="34"/>
      <c r="H14" s="35"/>
      <c r="I14" s="35"/>
      <c r="J14" s="35"/>
      <c r="K14" s="35"/>
      <c r="L14" s="35"/>
      <c r="M14" s="35"/>
      <c r="N14" s="39"/>
      <c r="O14" s="39"/>
      <c r="P14" s="39"/>
      <c r="Q14" s="54"/>
      <c r="R14" s="73"/>
      <c r="S14" s="73"/>
      <c r="T14" s="73"/>
      <c r="U14" s="73"/>
      <c r="V14" s="73"/>
      <c r="W14" s="73"/>
      <c r="X14" s="73"/>
      <c r="Y14" s="73"/>
      <c r="Z14" s="73"/>
      <c r="AA14" s="73"/>
      <c r="AB14" s="73"/>
      <c r="AC14" s="73"/>
      <c r="AD14" s="73"/>
      <c r="AE14" s="73"/>
      <c r="AF14" s="73"/>
      <c r="AG14" s="73"/>
      <c r="AH14" s="73"/>
      <c r="AI14" s="73"/>
      <c r="AJ14" s="73"/>
    </row>
    <row r="15" spans="2:36" ht="12.75">
      <c r="B15" s="42"/>
      <c r="C15" s="35"/>
      <c r="D15" s="34"/>
      <c r="E15" s="35"/>
      <c r="F15" s="40"/>
      <c r="G15" s="35"/>
      <c r="H15" s="35"/>
      <c r="I15" s="35"/>
      <c r="J15" s="35"/>
      <c r="K15" s="35"/>
      <c r="L15" s="35"/>
      <c r="M15" s="35"/>
      <c r="N15" s="39"/>
      <c r="O15" s="39"/>
      <c r="P15" s="39"/>
      <c r="Q15" s="54"/>
      <c r="R15" s="73"/>
      <c r="S15" s="73"/>
      <c r="T15" s="73"/>
      <c r="U15" s="73"/>
      <c r="V15" s="73"/>
      <c r="W15" s="73"/>
      <c r="X15" s="73"/>
      <c r="Y15" s="73"/>
      <c r="Z15" s="73"/>
      <c r="AA15" s="73"/>
      <c r="AB15" s="73"/>
      <c r="AC15" s="73"/>
      <c r="AD15" s="73"/>
      <c r="AE15" s="73"/>
      <c r="AF15" s="73"/>
      <c r="AG15" s="73"/>
      <c r="AH15" s="73"/>
      <c r="AI15" s="73"/>
      <c r="AJ15" s="73"/>
    </row>
    <row r="16" spans="2:36" ht="12.75">
      <c r="B16" s="42"/>
      <c r="C16" s="92" t="s">
        <v>60</v>
      </c>
      <c r="D16" s="34"/>
      <c r="E16" s="205">
        <v>1</v>
      </c>
      <c r="F16" s="40"/>
      <c r="G16" s="35"/>
      <c r="H16" s="35"/>
      <c r="I16" s="35"/>
      <c r="J16" s="35"/>
      <c r="K16" s="35"/>
      <c r="L16" s="35"/>
      <c r="M16" s="35"/>
      <c r="N16" s="39"/>
      <c r="O16" s="39"/>
      <c r="P16" s="39"/>
      <c r="Q16" s="54"/>
      <c r="R16" s="73"/>
      <c r="S16" s="73"/>
      <c r="T16" s="73"/>
      <c r="U16" s="73"/>
      <c r="V16" s="73"/>
      <c r="W16" s="73"/>
      <c r="X16" s="73"/>
      <c r="Y16" s="73"/>
      <c r="Z16" s="73"/>
      <c r="AA16" s="73"/>
      <c r="AB16" s="73"/>
      <c r="AC16" s="73"/>
      <c r="AD16" s="73"/>
      <c r="AE16" s="73"/>
      <c r="AF16" s="73"/>
      <c r="AG16" s="73"/>
      <c r="AH16" s="73"/>
      <c r="AI16" s="73"/>
      <c r="AJ16" s="73"/>
    </row>
    <row r="17" spans="2:36" ht="12.75">
      <c r="B17" s="42"/>
      <c r="C17" s="83" t="s">
        <v>103</v>
      </c>
      <c r="D17" s="34"/>
      <c r="E17" s="205">
        <v>1</v>
      </c>
      <c r="F17" s="40"/>
      <c r="G17" s="35"/>
      <c r="H17" s="35"/>
      <c r="I17" s="35"/>
      <c r="J17" s="35"/>
      <c r="K17" s="35"/>
      <c r="L17" s="35"/>
      <c r="M17" s="35"/>
      <c r="N17" s="39"/>
      <c r="O17" s="39"/>
      <c r="P17" s="39"/>
      <c r="Q17" s="54"/>
      <c r="R17" s="73"/>
      <c r="S17" s="73"/>
      <c r="T17" s="73"/>
      <c r="U17" s="73"/>
      <c r="V17" s="73"/>
      <c r="W17" s="73"/>
      <c r="X17" s="73"/>
      <c r="Y17" s="73"/>
      <c r="Z17" s="73"/>
      <c r="AA17" s="73"/>
      <c r="AB17" s="73"/>
      <c r="AC17" s="73"/>
      <c r="AD17" s="73"/>
      <c r="AE17" s="73"/>
      <c r="AF17" s="73"/>
      <c r="AG17" s="73"/>
      <c r="AH17" s="73"/>
      <c r="AI17" s="73"/>
      <c r="AJ17" s="73"/>
    </row>
    <row r="18" spans="2:36" ht="12.75">
      <c r="B18" s="42"/>
      <c r="C18" s="35"/>
      <c r="D18" s="35"/>
      <c r="E18" s="35"/>
      <c r="F18" s="35"/>
      <c r="G18" s="35"/>
      <c r="H18" s="35"/>
      <c r="I18" s="35"/>
      <c r="J18" s="35"/>
      <c r="K18" s="35"/>
      <c r="L18" s="35"/>
      <c r="M18" s="35"/>
      <c r="N18" s="39"/>
      <c r="O18" s="39"/>
      <c r="P18" s="39"/>
      <c r="Q18" s="54"/>
      <c r="R18" s="73"/>
      <c r="S18" s="73"/>
      <c r="T18" s="73"/>
      <c r="U18" s="73"/>
      <c r="V18" s="73"/>
      <c r="W18" s="73"/>
      <c r="X18" s="73"/>
      <c r="Y18" s="73"/>
      <c r="Z18" s="73"/>
      <c r="AA18" s="73"/>
      <c r="AB18" s="73"/>
      <c r="AC18" s="73"/>
      <c r="AD18" s="73"/>
      <c r="AE18" s="73"/>
      <c r="AF18" s="73"/>
      <c r="AG18" s="73"/>
      <c r="AH18" s="73"/>
      <c r="AI18" s="73"/>
      <c r="AJ18" s="73"/>
    </row>
    <row r="19" spans="2:36" ht="12.75">
      <c r="B19" s="42"/>
      <c r="C19" s="78" t="s">
        <v>111</v>
      </c>
      <c r="D19" s="35"/>
      <c r="E19" s="35"/>
      <c r="F19" s="35"/>
      <c r="G19" s="35"/>
      <c r="H19" s="35"/>
      <c r="I19" s="35"/>
      <c r="J19" s="35"/>
      <c r="K19" s="35"/>
      <c r="L19" s="35"/>
      <c r="M19" s="35"/>
      <c r="N19" s="39"/>
      <c r="O19" s="39"/>
      <c r="P19" s="39"/>
      <c r="Q19" s="54"/>
      <c r="R19" s="73"/>
      <c r="S19" s="73"/>
      <c r="T19" s="73"/>
      <c r="U19" s="73"/>
      <c r="V19" s="73"/>
      <c r="W19" s="73"/>
      <c r="X19" s="73"/>
      <c r="Y19" s="73"/>
      <c r="Z19" s="73"/>
      <c r="AA19" s="73"/>
      <c r="AB19" s="73"/>
      <c r="AC19" s="73"/>
      <c r="AD19" s="73"/>
      <c r="AE19" s="73"/>
      <c r="AF19" s="73"/>
      <c r="AG19" s="73"/>
      <c r="AH19" s="73"/>
      <c r="AI19" s="73"/>
      <c r="AJ19" s="73"/>
    </row>
    <row r="20" spans="2:36" ht="12.75">
      <c r="B20" s="42"/>
      <c r="C20" s="40" t="s">
        <v>86</v>
      </c>
      <c r="D20" s="40" t="s">
        <v>112</v>
      </c>
      <c r="E20" s="40" t="s">
        <v>113</v>
      </c>
      <c r="F20" s="40" t="s">
        <v>114</v>
      </c>
      <c r="G20" s="40"/>
      <c r="H20" s="35"/>
      <c r="I20" s="35"/>
      <c r="J20" s="35"/>
      <c r="K20" s="35"/>
      <c r="L20" s="35"/>
      <c r="M20" s="35"/>
      <c r="N20" s="35"/>
      <c r="O20" s="35"/>
      <c r="P20" s="35"/>
      <c r="Q20" s="36"/>
      <c r="R20" s="73"/>
      <c r="S20" s="73"/>
      <c r="T20" s="73"/>
      <c r="U20" s="73"/>
      <c r="V20" s="73"/>
      <c r="W20" s="73"/>
      <c r="X20" s="73"/>
      <c r="Y20" s="73"/>
      <c r="Z20" s="73"/>
      <c r="AA20" s="73"/>
      <c r="AB20" s="73"/>
      <c r="AC20" s="73"/>
      <c r="AD20" s="73"/>
      <c r="AE20" s="73"/>
      <c r="AF20" s="73"/>
      <c r="AG20" s="73"/>
      <c r="AH20" s="73"/>
      <c r="AI20" s="73"/>
      <c r="AJ20" s="73"/>
    </row>
    <row r="21" spans="2:36" ht="12.75">
      <c r="B21" s="42"/>
      <c r="C21" s="206">
        <v>0.3720930536646015</v>
      </c>
      <c r="D21" s="206">
        <v>8.909378450219886E-05</v>
      </c>
      <c r="E21" s="207">
        <v>179.7774737743032</v>
      </c>
      <c r="F21" s="206">
        <v>1.6194549377468341</v>
      </c>
      <c r="G21" s="77"/>
      <c r="H21" s="35">
        <v>4</v>
      </c>
      <c r="I21" s="35"/>
      <c r="J21" s="35"/>
      <c r="K21" s="35"/>
      <c r="L21" s="35"/>
      <c r="M21" s="35"/>
      <c r="N21" s="35"/>
      <c r="O21" s="35"/>
      <c r="P21" s="35"/>
      <c r="Q21" s="36"/>
      <c r="R21" s="73"/>
      <c r="S21" s="73"/>
      <c r="T21" s="73"/>
      <c r="U21" s="73"/>
      <c r="V21" s="73"/>
      <c r="W21" s="73"/>
      <c r="X21" s="73"/>
      <c r="Y21" s="73"/>
      <c r="Z21" s="73"/>
      <c r="AA21" s="73"/>
      <c r="AB21" s="73"/>
      <c r="AC21" s="73"/>
      <c r="AD21" s="73"/>
      <c r="AE21" s="73"/>
      <c r="AF21" s="73"/>
      <c r="AG21" s="73"/>
      <c r="AH21" s="73"/>
      <c r="AI21" s="73"/>
      <c r="AJ21" s="73"/>
    </row>
    <row r="22" spans="2:36" ht="12.75">
      <c r="B22" s="42"/>
      <c r="C22" s="35"/>
      <c r="D22" s="35"/>
      <c r="E22" s="35"/>
      <c r="F22" s="35"/>
      <c r="G22" s="35"/>
      <c r="H22" s="35"/>
      <c r="I22" s="35"/>
      <c r="J22" s="35"/>
      <c r="K22" s="35"/>
      <c r="L22" s="35"/>
      <c r="M22" s="35"/>
      <c r="N22" s="35"/>
      <c r="O22" s="35"/>
      <c r="P22" s="35"/>
      <c r="Q22" s="36"/>
      <c r="R22" s="73"/>
      <c r="S22" s="73"/>
      <c r="T22" s="73"/>
      <c r="U22" s="73"/>
      <c r="V22" s="73"/>
      <c r="W22" s="73"/>
      <c r="X22" s="73"/>
      <c r="Y22" s="73"/>
      <c r="Z22" s="73"/>
      <c r="AA22" s="73"/>
      <c r="AB22" s="73"/>
      <c r="AC22" s="73"/>
      <c r="AD22" s="73"/>
      <c r="AE22" s="73"/>
      <c r="AF22" s="73"/>
      <c r="AG22" s="73"/>
      <c r="AH22" s="73"/>
      <c r="AI22" s="73"/>
      <c r="AJ22" s="73"/>
    </row>
    <row r="23" spans="2:36" ht="12.75">
      <c r="B23" s="42"/>
      <c r="C23" s="78" t="s">
        <v>136</v>
      </c>
      <c r="D23" s="78"/>
      <c r="E23" s="32">
        <f>(C!AB43)^0.5</f>
        <v>0.004924708147041808</v>
      </c>
      <c r="F23" s="35"/>
      <c r="G23" s="35"/>
      <c r="H23" s="35"/>
      <c r="I23" s="35"/>
      <c r="J23" s="35"/>
      <c r="K23" s="35"/>
      <c r="L23" s="35"/>
      <c r="M23" s="35"/>
      <c r="N23" s="35"/>
      <c r="O23" s="35"/>
      <c r="P23" s="35"/>
      <c r="Q23" s="36"/>
      <c r="R23" s="73"/>
      <c r="S23" s="73"/>
      <c r="T23" s="73"/>
      <c r="U23" s="73"/>
      <c r="V23" s="73"/>
      <c r="W23" s="73"/>
      <c r="X23" s="73"/>
      <c r="Y23" s="73"/>
      <c r="Z23" s="73"/>
      <c r="AA23" s="73"/>
      <c r="AB23" s="73"/>
      <c r="AC23" s="73"/>
      <c r="AD23" s="73"/>
      <c r="AE23" s="73"/>
      <c r="AF23" s="73"/>
      <c r="AG23" s="73"/>
      <c r="AH23" s="73"/>
      <c r="AI23" s="73"/>
      <c r="AJ23" s="73"/>
    </row>
    <row r="24" spans="2:36" ht="12.75">
      <c r="B24" s="42"/>
      <c r="C24" s="35"/>
      <c r="D24" s="35"/>
      <c r="E24" s="35"/>
      <c r="F24" s="35"/>
      <c r="G24" s="35"/>
      <c r="H24" s="35"/>
      <c r="I24" s="35"/>
      <c r="J24" s="35"/>
      <c r="K24" s="35"/>
      <c r="L24" s="35"/>
      <c r="M24" s="35"/>
      <c r="N24" s="35"/>
      <c r="O24" s="35"/>
      <c r="P24" s="35"/>
      <c r="Q24" s="36"/>
      <c r="R24" s="73"/>
      <c r="S24" s="73"/>
      <c r="T24" s="73"/>
      <c r="U24" s="73"/>
      <c r="V24" s="73"/>
      <c r="W24" s="73"/>
      <c r="X24" s="73"/>
      <c r="Y24" s="73"/>
      <c r="Z24" s="73"/>
      <c r="AA24" s="73"/>
      <c r="AB24" s="73"/>
      <c r="AC24" s="73"/>
      <c r="AD24" s="73"/>
      <c r="AE24" s="73"/>
      <c r="AF24" s="73"/>
      <c r="AG24" s="73"/>
      <c r="AH24" s="73"/>
      <c r="AI24" s="73"/>
      <c r="AJ24" s="73"/>
    </row>
    <row r="25" spans="2:36" ht="12.75">
      <c r="B25" s="42"/>
      <c r="C25" s="78" t="s">
        <v>85</v>
      </c>
      <c r="D25" s="35"/>
      <c r="E25" s="35"/>
      <c r="F25" s="35"/>
      <c r="G25" s="35"/>
      <c r="H25" s="35"/>
      <c r="I25" s="35"/>
      <c r="J25" s="35"/>
      <c r="K25" s="35"/>
      <c r="L25" s="35"/>
      <c r="M25" s="35"/>
      <c r="N25" s="35"/>
      <c r="O25" s="35"/>
      <c r="P25" s="35"/>
      <c r="Q25" s="36"/>
      <c r="R25" s="73"/>
      <c r="S25" s="73"/>
      <c r="T25" s="73"/>
      <c r="U25" s="73"/>
      <c r="V25" s="73"/>
      <c r="W25" s="73"/>
      <c r="X25" s="73"/>
      <c r="Y25" s="73"/>
      <c r="Z25" s="73"/>
      <c r="AA25" s="73"/>
      <c r="AB25" s="73"/>
      <c r="AC25" s="73"/>
      <c r="AD25" s="73"/>
      <c r="AE25" s="73"/>
      <c r="AF25" s="73"/>
      <c r="AG25" s="73"/>
      <c r="AH25" s="73"/>
      <c r="AI25" s="73"/>
      <c r="AJ25" s="73"/>
    </row>
    <row r="26" spans="2:36" ht="12.75">
      <c r="B26" s="42"/>
      <c r="C26" s="40" t="s">
        <v>23</v>
      </c>
      <c r="D26" s="35"/>
      <c r="E26" s="81">
        <f>C!A7</f>
        <v>9.679604704055452</v>
      </c>
      <c r="F26" s="35"/>
      <c r="G26" s="35"/>
      <c r="H26" s="35"/>
      <c r="I26" s="35"/>
      <c r="J26" s="35"/>
      <c r="K26" s="35"/>
      <c r="L26" s="35"/>
      <c r="M26" s="35"/>
      <c r="N26" s="35"/>
      <c r="O26" s="35"/>
      <c r="P26" s="35"/>
      <c r="Q26" s="36"/>
      <c r="R26" s="73"/>
      <c r="S26" s="73"/>
      <c r="T26" s="73"/>
      <c r="U26" s="73"/>
      <c r="V26" s="73"/>
      <c r="W26" s="73"/>
      <c r="X26" s="73"/>
      <c r="Y26" s="73"/>
      <c r="Z26" s="73"/>
      <c r="AA26" s="73"/>
      <c r="AB26" s="73"/>
      <c r="AC26" s="73"/>
      <c r="AD26" s="73"/>
      <c r="AE26" s="73"/>
      <c r="AF26" s="73"/>
      <c r="AG26" s="73"/>
      <c r="AH26" s="73"/>
      <c r="AI26" s="73"/>
      <c r="AJ26" s="73"/>
    </row>
    <row r="27" spans="2:36" ht="12.75">
      <c r="B27" s="42"/>
      <c r="C27" s="40" t="s">
        <v>24</v>
      </c>
      <c r="D27" s="35"/>
      <c r="E27" s="64">
        <f>C!B7</f>
        <v>1.4010848848441233</v>
      </c>
      <c r="F27" s="35"/>
      <c r="G27" s="35"/>
      <c r="H27" s="35"/>
      <c r="I27" s="35"/>
      <c r="J27" s="35"/>
      <c r="K27" s="35"/>
      <c r="L27" s="35"/>
      <c r="M27" s="35"/>
      <c r="N27" s="35"/>
      <c r="O27" s="35"/>
      <c r="P27" s="35"/>
      <c r="Q27" s="36"/>
      <c r="R27" s="73"/>
      <c r="S27" s="73"/>
      <c r="T27" s="73"/>
      <c r="U27" s="73"/>
      <c r="V27" s="73"/>
      <c r="W27" s="73"/>
      <c r="X27" s="73"/>
      <c r="Y27" s="73"/>
      <c r="Z27" s="73"/>
      <c r="AA27" s="73"/>
      <c r="AB27" s="73"/>
      <c r="AC27" s="73"/>
      <c r="AD27" s="73"/>
      <c r="AE27" s="73"/>
      <c r="AF27" s="73"/>
      <c r="AG27" s="73"/>
      <c r="AH27" s="73"/>
      <c r="AI27" s="73"/>
      <c r="AJ27" s="73"/>
    </row>
    <row r="28" spans="2:36" ht="12.75">
      <c r="B28" s="42"/>
      <c r="C28" s="40" t="s">
        <v>25</v>
      </c>
      <c r="D28" s="35"/>
      <c r="E28" s="71">
        <f>C!C7</f>
        <v>54.94997691696283</v>
      </c>
      <c r="F28" s="35"/>
      <c r="G28" s="35"/>
      <c r="H28" s="35"/>
      <c r="I28" s="35"/>
      <c r="J28" s="35"/>
      <c r="K28" s="35"/>
      <c r="L28" s="35"/>
      <c r="M28" s="35"/>
      <c r="N28" s="35"/>
      <c r="O28" s="35"/>
      <c r="P28" s="35"/>
      <c r="Q28" s="36"/>
      <c r="R28" s="73"/>
      <c r="S28" s="73"/>
      <c r="T28" s="73"/>
      <c r="U28" s="73"/>
      <c r="V28" s="73"/>
      <c r="W28" s="73"/>
      <c r="X28" s="73"/>
      <c r="Y28" s="73"/>
      <c r="Z28" s="73"/>
      <c r="AA28" s="73"/>
      <c r="AB28" s="73"/>
      <c r="AC28" s="73"/>
      <c r="AD28" s="73"/>
      <c r="AE28" s="73"/>
      <c r="AF28" s="73"/>
      <c r="AG28" s="73"/>
      <c r="AH28" s="73"/>
      <c r="AI28" s="73"/>
      <c r="AJ28" s="73"/>
    </row>
    <row r="29" spans="2:36" ht="12.75">
      <c r="B29" s="42"/>
      <c r="C29" s="40" t="s">
        <v>26</v>
      </c>
      <c r="D29" s="35"/>
      <c r="E29" s="64">
        <f>C!D7</f>
        <v>0.5242021784963881</v>
      </c>
      <c r="F29" s="35"/>
      <c r="G29" s="35"/>
      <c r="H29" s="35"/>
      <c r="I29" s="35"/>
      <c r="J29" s="35"/>
      <c r="K29" s="35"/>
      <c r="L29" s="35"/>
      <c r="M29" s="35"/>
      <c r="N29" s="35"/>
      <c r="O29" s="35"/>
      <c r="P29" s="35"/>
      <c r="Q29" s="36"/>
      <c r="R29" s="73"/>
      <c r="S29" s="73"/>
      <c r="T29" s="73"/>
      <c r="U29" s="73"/>
      <c r="V29" s="73"/>
      <c r="W29" s="73"/>
      <c r="X29" s="73"/>
      <c r="Y29" s="73"/>
      <c r="Z29" s="73"/>
      <c r="AA29" s="73"/>
      <c r="AB29" s="73"/>
      <c r="AC29" s="73"/>
      <c r="AD29" s="73"/>
      <c r="AE29" s="73"/>
      <c r="AF29" s="73"/>
      <c r="AG29" s="73"/>
      <c r="AH29" s="73"/>
      <c r="AI29" s="73"/>
      <c r="AJ29" s="73"/>
    </row>
    <row r="30" spans="2:36" ht="12.75">
      <c r="B30" s="42"/>
      <c r="C30" s="79" t="s">
        <v>27</v>
      </c>
      <c r="D30" s="35"/>
      <c r="E30" s="64">
        <f>C!E7</f>
        <v>0.950147915341163</v>
      </c>
      <c r="F30" s="35"/>
      <c r="G30" s="216" t="s">
        <v>165</v>
      </c>
      <c r="H30" s="217"/>
      <c r="I30" s="217"/>
      <c r="J30" s="217"/>
      <c r="K30" s="217"/>
      <c r="L30" s="217"/>
      <c r="M30" s="217"/>
      <c r="N30" s="217"/>
      <c r="O30" s="217"/>
      <c r="P30" s="218"/>
      <c r="Q30" s="36"/>
      <c r="R30" s="73"/>
      <c r="S30" s="73"/>
      <c r="T30" s="73"/>
      <c r="U30" s="73"/>
      <c r="V30" s="73"/>
      <c r="W30" s="73"/>
      <c r="X30" s="73"/>
      <c r="Y30" s="73"/>
      <c r="Z30" s="73"/>
      <c r="AA30" s="73"/>
      <c r="AB30" s="73"/>
      <c r="AC30" s="73"/>
      <c r="AD30" s="73"/>
      <c r="AE30" s="73"/>
      <c r="AF30" s="73"/>
      <c r="AG30" s="73"/>
      <c r="AH30" s="73"/>
      <c r="AI30" s="73"/>
      <c r="AJ30" s="73"/>
    </row>
    <row r="31" spans="2:36" ht="13.5" thickBot="1">
      <c r="B31" s="80"/>
      <c r="C31" s="43"/>
      <c r="D31" s="43"/>
      <c r="E31" s="43"/>
      <c r="F31" s="43"/>
      <c r="G31" s="43"/>
      <c r="H31" s="43"/>
      <c r="I31" s="43"/>
      <c r="J31" s="43"/>
      <c r="K31" s="43"/>
      <c r="L31" s="43"/>
      <c r="M31" s="43"/>
      <c r="N31" s="43"/>
      <c r="O31" s="43"/>
      <c r="P31" s="43"/>
      <c r="Q31" s="45"/>
      <c r="R31" s="73"/>
      <c r="S31" s="73"/>
      <c r="T31" s="73"/>
      <c r="U31" s="73"/>
      <c r="V31" s="73"/>
      <c r="W31" s="73"/>
      <c r="X31" s="73"/>
      <c r="Y31" s="73"/>
      <c r="Z31" s="73"/>
      <c r="AA31" s="73"/>
      <c r="AB31" s="73"/>
      <c r="AC31" s="73"/>
      <c r="AD31" s="73"/>
      <c r="AE31" s="73"/>
      <c r="AF31" s="73"/>
      <c r="AG31" s="73"/>
      <c r="AH31" s="73"/>
      <c r="AI31" s="73"/>
      <c r="AJ31" s="73"/>
    </row>
    <row r="32" spans="18:36" ht="13.5" thickTop="1">
      <c r="R32" s="73"/>
      <c r="S32" s="73"/>
      <c r="T32" s="73"/>
      <c r="U32" s="73"/>
      <c r="V32" s="73"/>
      <c r="W32" s="73"/>
      <c r="X32" s="73"/>
      <c r="Y32" s="73"/>
      <c r="Z32" s="73"/>
      <c r="AA32" s="73"/>
      <c r="AB32" s="73"/>
      <c r="AC32" s="73"/>
      <c r="AD32" s="73"/>
      <c r="AE32" s="73"/>
      <c r="AF32" s="73"/>
      <c r="AG32" s="73"/>
      <c r="AH32" s="73"/>
      <c r="AI32" s="73"/>
      <c r="AJ32" s="73"/>
    </row>
    <row r="33" spans="18:36" ht="12.75">
      <c r="R33" s="73"/>
      <c r="S33" s="73"/>
      <c r="T33" s="73"/>
      <c r="U33" s="73"/>
      <c r="V33" s="73"/>
      <c r="W33" s="73"/>
      <c r="X33" s="73"/>
      <c r="Y33" s="73"/>
      <c r="Z33" s="73"/>
      <c r="AA33" s="73"/>
      <c r="AB33" s="73"/>
      <c r="AC33" s="73"/>
      <c r="AD33" s="73"/>
      <c r="AE33" s="73"/>
      <c r="AF33" s="73"/>
      <c r="AG33" s="73"/>
      <c r="AH33" s="73"/>
      <c r="AI33" s="73"/>
      <c r="AJ33" s="73"/>
    </row>
    <row r="34" spans="18:36" ht="12.75">
      <c r="R34" s="73"/>
      <c r="S34" s="73"/>
      <c r="T34" s="73"/>
      <c r="U34" s="73"/>
      <c r="V34" s="73"/>
      <c r="W34" s="73"/>
      <c r="X34" s="73"/>
      <c r="Y34" s="73"/>
      <c r="Z34" s="73"/>
      <c r="AA34" s="73"/>
      <c r="AB34" s="73"/>
      <c r="AC34" s="73"/>
      <c r="AD34" s="73"/>
      <c r="AE34" s="73"/>
      <c r="AF34" s="73"/>
      <c r="AG34" s="73"/>
      <c r="AH34" s="73"/>
      <c r="AI34" s="73"/>
      <c r="AJ34" s="73"/>
    </row>
    <row r="35" spans="18:36" ht="12.75">
      <c r="R35" s="73"/>
      <c r="S35" s="73"/>
      <c r="T35" s="73"/>
      <c r="U35" s="73"/>
      <c r="V35" s="73"/>
      <c r="W35" s="73"/>
      <c r="X35" s="73"/>
      <c r="Y35" s="73"/>
      <c r="Z35" s="73"/>
      <c r="AA35" s="73"/>
      <c r="AB35" s="73"/>
      <c r="AC35" s="73"/>
      <c r="AD35" s="73"/>
      <c r="AE35" s="73"/>
      <c r="AF35" s="73"/>
      <c r="AG35" s="73"/>
      <c r="AH35" s="73"/>
      <c r="AI35" s="73"/>
      <c r="AJ35" s="73"/>
    </row>
    <row r="36" spans="18:36" ht="12.75">
      <c r="R36" s="73"/>
      <c r="S36" s="73"/>
      <c r="T36" s="73"/>
      <c r="U36" s="73"/>
      <c r="V36" s="73"/>
      <c r="W36" s="73"/>
      <c r="X36" s="73"/>
      <c r="Y36" s="73"/>
      <c r="Z36" s="73"/>
      <c r="AA36" s="73"/>
      <c r="AB36" s="73"/>
      <c r="AC36" s="73"/>
      <c r="AD36" s="73"/>
      <c r="AE36" s="73"/>
      <c r="AF36" s="73"/>
      <c r="AG36" s="73"/>
      <c r="AH36" s="73"/>
      <c r="AI36" s="73"/>
      <c r="AJ36" s="73"/>
    </row>
    <row r="37" spans="18:36" ht="12.75">
      <c r="R37" s="73"/>
      <c r="S37" s="73"/>
      <c r="T37" s="73"/>
      <c r="U37" s="73"/>
      <c r="V37" s="73"/>
      <c r="W37" s="73"/>
      <c r="X37" s="73"/>
      <c r="Y37" s="73"/>
      <c r="Z37" s="73"/>
      <c r="AA37" s="73"/>
      <c r="AB37" s="73"/>
      <c r="AC37" s="73"/>
      <c r="AD37" s="73"/>
      <c r="AE37" s="73"/>
      <c r="AF37" s="73"/>
      <c r="AG37" s="73"/>
      <c r="AH37" s="73"/>
      <c r="AI37" s="73"/>
      <c r="AJ37" s="73"/>
    </row>
    <row r="38" spans="18:36" ht="12.75">
      <c r="R38" s="73"/>
      <c r="S38" s="73"/>
      <c r="T38" s="73"/>
      <c r="U38" s="73"/>
      <c r="V38" s="73"/>
      <c r="W38" s="73"/>
      <c r="X38" s="73"/>
      <c r="Y38" s="73"/>
      <c r="Z38" s="73"/>
      <c r="AA38" s="73"/>
      <c r="AB38" s="73"/>
      <c r="AC38" s="73"/>
      <c r="AD38" s="73"/>
      <c r="AE38" s="73"/>
      <c r="AF38" s="73"/>
      <c r="AG38" s="73"/>
      <c r="AH38" s="73"/>
      <c r="AI38" s="73"/>
      <c r="AJ38" s="73"/>
    </row>
    <row r="39" spans="18:36" ht="12.75">
      <c r="R39" s="73"/>
      <c r="S39" s="73"/>
      <c r="T39" s="73"/>
      <c r="U39" s="73"/>
      <c r="V39" s="73"/>
      <c r="W39" s="73"/>
      <c r="X39" s="73"/>
      <c r="Y39" s="73"/>
      <c r="Z39" s="73"/>
      <c r="AA39" s="73"/>
      <c r="AB39" s="73"/>
      <c r="AC39" s="73"/>
      <c r="AD39" s="73"/>
      <c r="AE39" s="73"/>
      <c r="AF39" s="73"/>
      <c r="AG39" s="73"/>
      <c r="AH39" s="73"/>
      <c r="AI39" s="73"/>
      <c r="AJ39" s="73"/>
    </row>
    <row r="40" spans="18:36" ht="12.75">
      <c r="R40" s="73"/>
      <c r="S40" s="73"/>
      <c r="T40" s="73"/>
      <c r="U40" s="73"/>
      <c r="V40" s="73"/>
      <c r="W40" s="73"/>
      <c r="X40" s="73"/>
      <c r="Y40" s="73"/>
      <c r="Z40" s="73"/>
      <c r="AA40" s="73"/>
      <c r="AB40" s="73"/>
      <c r="AC40" s="73"/>
      <c r="AD40" s="73"/>
      <c r="AE40" s="73"/>
      <c r="AF40" s="73"/>
      <c r="AG40" s="73"/>
      <c r="AH40" s="73"/>
      <c r="AI40" s="73"/>
      <c r="AJ40" s="73"/>
    </row>
    <row r="41" spans="18:36" ht="12.75">
      <c r="R41" s="73"/>
      <c r="S41" s="73"/>
      <c r="T41" s="73"/>
      <c r="U41" s="73"/>
      <c r="V41" s="73"/>
      <c r="W41" s="73"/>
      <c r="X41" s="73"/>
      <c r="Y41" s="73"/>
      <c r="Z41" s="73"/>
      <c r="AA41" s="73"/>
      <c r="AB41" s="73"/>
      <c r="AC41" s="73"/>
      <c r="AD41" s="73"/>
      <c r="AE41" s="73"/>
      <c r="AF41" s="73"/>
      <c r="AG41" s="73"/>
      <c r="AH41" s="73"/>
      <c r="AI41" s="73"/>
      <c r="AJ41" s="73"/>
    </row>
    <row r="42" spans="18:36" ht="12.75">
      <c r="R42" s="73"/>
      <c r="S42" s="73"/>
      <c r="T42" s="73"/>
      <c r="U42" s="73"/>
      <c r="V42" s="73"/>
      <c r="W42" s="73"/>
      <c r="X42" s="73"/>
      <c r="Y42" s="73"/>
      <c r="Z42" s="73"/>
      <c r="AA42" s="73"/>
      <c r="AB42" s="73"/>
      <c r="AC42" s="73"/>
      <c r="AD42" s="73"/>
      <c r="AE42" s="73"/>
      <c r="AF42" s="73"/>
      <c r="AG42" s="73"/>
      <c r="AH42" s="73"/>
      <c r="AI42" s="73"/>
      <c r="AJ42" s="73"/>
    </row>
    <row r="43" spans="18:36" ht="12.75">
      <c r="R43" s="73"/>
      <c r="S43" s="73"/>
      <c r="T43" s="73"/>
      <c r="U43" s="73"/>
      <c r="V43" s="73"/>
      <c r="W43" s="73"/>
      <c r="X43" s="73"/>
      <c r="Y43" s="73"/>
      <c r="Z43" s="73"/>
      <c r="AA43" s="73"/>
      <c r="AB43" s="73"/>
      <c r="AC43" s="73"/>
      <c r="AD43" s="73"/>
      <c r="AE43" s="73"/>
      <c r="AF43" s="73"/>
      <c r="AG43" s="73"/>
      <c r="AH43" s="73"/>
      <c r="AI43" s="73"/>
      <c r="AJ43" s="73"/>
    </row>
    <row r="44" spans="18:36" ht="12.75">
      <c r="R44" s="73"/>
      <c r="S44" s="73"/>
      <c r="T44" s="73"/>
      <c r="U44" s="73"/>
      <c r="V44" s="73"/>
      <c r="W44" s="73"/>
      <c r="X44" s="73"/>
      <c r="Y44" s="73"/>
      <c r="Z44" s="73"/>
      <c r="AA44" s="73"/>
      <c r="AB44" s="73"/>
      <c r="AC44" s="73"/>
      <c r="AD44" s="73"/>
      <c r="AE44" s="73"/>
      <c r="AF44" s="73"/>
      <c r="AG44" s="73"/>
      <c r="AH44" s="73"/>
      <c r="AI44" s="73"/>
      <c r="AJ44" s="73"/>
    </row>
    <row r="45" spans="18:36" ht="12.75">
      <c r="R45" s="73"/>
      <c r="S45" s="73"/>
      <c r="T45" s="73"/>
      <c r="U45" s="73"/>
      <c r="V45" s="73"/>
      <c r="W45" s="73"/>
      <c r="X45" s="73"/>
      <c r="Y45" s="73"/>
      <c r="Z45" s="73"/>
      <c r="AA45" s="73"/>
      <c r="AB45" s="73"/>
      <c r="AC45" s="73"/>
      <c r="AD45" s="73"/>
      <c r="AE45" s="73"/>
      <c r="AF45" s="73"/>
      <c r="AG45" s="73"/>
      <c r="AH45" s="73"/>
      <c r="AI45" s="73"/>
      <c r="AJ45" s="73"/>
    </row>
    <row r="46" spans="18:36" ht="12.75">
      <c r="R46" s="73"/>
      <c r="S46" s="73"/>
      <c r="T46" s="73"/>
      <c r="U46" s="73"/>
      <c r="V46" s="73"/>
      <c r="W46" s="73"/>
      <c r="X46" s="73"/>
      <c r="Y46" s="73"/>
      <c r="Z46" s="73"/>
      <c r="AA46" s="73"/>
      <c r="AB46" s="73"/>
      <c r="AC46" s="73"/>
      <c r="AD46" s="73"/>
      <c r="AE46" s="73"/>
      <c r="AF46" s="73"/>
      <c r="AG46" s="73"/>
      <c r="AH46" s="73"/>
      <c r="AI46" s="73"/>
      <c r="AJ46" s="73"/>
    </row>
    <row r="47" spans="18:36" ht="12.75">
      <c r="R47" s="73"/>
      <c r="S47" s="73"/>
      <c r="T47" s="73"/>
      <c r="U47" s="73"/>
      <c r="V47" s="73"/>
      <c r="W47" s="73"/>
      <c r="X47" s="73"/>
      <c r="Y47" s="73"/>
      <c r="Z47" s="73"/>
      <c r="AA47" s="73"/>
      <c r="AB47" s="73"/>
      <c r="AC47" s="73"/>
      <c r="AD47" s="73"/>
      <c r="AE47" s="73"/>
      <c r="AF47" s="73"/>
      <c r="AG47" s="73"/>
      <c r="AH47" s="73"/>
      <c r="AI47" s="73"/>
      <c r="AJ47" s="73"/>
    </row>
    <row r="48" spans="18:36" ht="12.75">
      <c r="R48" s="73"/>
      <c r="S48" s="73"/>
      <c r="T48" s="73"/>
      <c r="U48" s="73"/>
      <c r="V48" s="73"/>
      <c r="W48" s="73"/>
      <c r="X48" s="73"/>
      <c r="Y48" s="73"/>
      <c r="Z48" s="73"/>
      <c r="AA48" s="73"/>
      <c r="AB48" s="73"/>
      <c r="AC48" s="73"/>
      <c r="AD48" s="73"/>
      <c r="AE48" s="73"/>
      <c r="AF48" s="73"/>
      <c r="AG48" s="73"/>
      <c r="AH48" s="73"/>
      <c r="AI48" s="73"/>
      <c r="AJ48" s="73"/>
    </row>
    <row r="49" spans="18:36" ht="12.75">
      <c r="R49" s="73"/>
      <c r="S49" s="73"/>
      <c r="T49" s="73"/>
      <c r="U49" s="73"/>
      <c r="V49" s="73"/>
      <c r="W49" s="73"/>
      <c r="X49" s="73"/>
      <c r="Y49" s="73"/>
      <c r="Z49" s="73"/>
      <c r="AA49" s="73"/>
      <c r="AB49" s="73"/>
      <c r="AC49" s="73"/>
      <c r="AD49" s="73"/>
      <c r="AE49" s="73"/>
      <c r="AF49" s="73"/>
      <c r="AG49" s="73"/>
      <c r="AH49" s="73"/>
      <c r="AI49" s="73"/>
      <c r="AJ49" s="73"/>
    </row>
    <row r="50" spans="18:36" ht="12.75">
      <c r="R50" s="73"/>
      <c r="S50" s="73"/>
      <c r="T50" s="73"/>
      <c r="U50" s="73"/>
      <c r="V50" s="73"/>
      <c r="W50" s="73"/>
      <c r="X50" s="73"/>
      <c r="Y50" s="73"/>
      <c r="Z50" s="73"/>
      <c r="AA50" s="73"/>
      <c r="AB50" s="73"/>
      <c r="AC50" s="73"/>
      <c r="AD50" s="73"/>
      <c r="AE50" s="73"/>
      <c r="AF50" s="73"/>
      <c r="AG50" s="73"/>
      <c r="AH50" s="73"/>
      <c r="AI50" s="73"/>
      <c r="AJ50" s="73"/>
    </row>
  </sheetData>
  <sheetProtection password="CD50" sheet="1" objects="1" scenarios="1" insertColumns="0" insertRows="0"/>
  <mergeCells count="2">
    <mergeCell ref="D4:O4"/>
    <mergeCell ref="G30:P30"/>
  </mergeCells>
  <printOptions horizontalCentered="1"/>
  <pageMargins left="0.25" right="0.25" top="1" bottom="1.5" header="0" footer="0.5"/>
  <pageSetup horizontalDpi="300" verticalDpi="300" orientation="landscape" r:id="rId4"/>
  <headerFooter alignWithMargins="0">
    <oddFooter>&amp;L&amp;"Arial,Bold"&amp;8Moly-Cop Tools&amp;"Arial,Regular" / &amp;F&amp;R&amp;8&amp;D /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AN52"/>
  <sheetViews>
    <sheetView tabSelected="1" workbookViewId="0" topLeftCell="A1">
      <selection activeCell="A1" sqref="A1"/>
    </sheetView>
  </sheetViews>
  <sheetFormatPr defaultColWidth="11.421875" defaultRowHeight="12.75"/>
  <cols>
    <col min="1" max="2" width="1.7109375" style="0" customWidth="1"/>
    <col min="3" max="21" width="10.7109375" style="0" customWidth="1"/>
    <col min="22" max="23" width="1.7109375" style="0" customWidth="1"/>
    <col min="24" max="24" width="9.140625" style="0" customWidth="1"/>
    <col min="25" max="25" width="12.7109375" style="0" customWidth="1"/>
    <col min="26" max="26" width="9.140625" style="0" customWidth="1"/>
    <col min="27" max="27" width="13.7109375" style="0" bestFit="1" customWidth="1"/>
    <col min="28" max="30" width="10.7109375" style="0" customWidth="1"/>
    <col min="31" max="31" width="9.140625" style="0" customWidth="1"/>
    <col min="32" max="34" width="10.7109375" style="0" customWidth="1"/>
    <col min="35" max="35" width="9.140625" style="0" customWidth="1"/>
    <col min="36" max="38" width="10.7109375" style="0" customWidth="1"/>
    <col min="39" max="16384" width="9.140625" style="0" customWidth="1"/>
  </cols>
  <sheetData>
    <row r="1" ht="7.5" customHeight="1" thickBot="1"/>
    <row r="2" spans="2:40" ht="21.75" thickTop="1">
      <c r="B2" s="82"/>
      <c r="C2" s="122" t="s">
        <v>205</v>
      </c>
      <c r="D2" s="75"/>
      <c r="E2" s="75"/>
      <c r="F2" s="75"/>
      <c r="G2" s="75"/>
      <c r="H2" s="75"/>
      <c r="I2" s="75"/>
      <c r="J2" s="75"/>
      <c r="K2" s="75"/>
      <c r="L2" s="75"/>
      <c r="M2" s="75"/>
      <c r="N2" s="75"/>
      <c r="O2" s="75"/>
      <c r="P2" s="75"/>
      <c r="Q2" s="75"/>
      <c r="R2" s="75"/>
      <c r="S2" s="75"/>
      <c r="T2" s="75"/>
      <c r="U2" s="75"/>
      <c r="V2" s="76"/>
      <c r="X2" s="120"/>
      <c r="Y2" s="96"/>
      <c r="Z2" s="96"/>
      <c r="AA2" s="96"/>
      <c r="AB2" s="96"/>
      <c r="AC2" s="96"/>
      <c r="AD2" s="96"/>
      <c r="AE2" s="96"/>
      <c r="AF2" s="96"/>
      <c r="AG2" s="96"/>
      <c r="AH2" s="96"/>
      <c r="AI2" s="96"/>
      <c r="AJ2" s="96"/>
      <c r="AK2" s="96"/>
      <c r="AL2" s="96"/>
      <c r="AM2" s="96"/>
      <c r="AN2" s="100"/>
    </row>
    <row r="3" spans="2:40" ht="15.75">
      <c r="B3" s="42"/>
      <c r="C3" s="35"/>
      <c r="D3" s="215" t="s">
        <v>170</v>
      </c>
      <c r="E3" s="226"/>
      <c r="F3" s="226"/>
      <c r="G3" s="226"/>
      <c r="H3" s="226"/>
      <c r="I3" s="226"/>
      <c r="J3" s="226"/>
      <c r="K3" s="226"/>
      <c r="L3" s="226"/>
      <c r="M3" s="226"/>
      <c r="N3" s="226"/>
      <c r="O3" s="226"/>
      <c r="P3" s="226"/>
      <c r="Q3" s="226"/>
      <c r="R3" s="226"/>
      <c r="S3" s="226"/>
      <c r="T3" s="226"/>
      <c r="U3" s="35"/>
      <c r="V3" s="36"/>
      <c r="X3" s="105"/>
      <c r="Y3" s="95"/>
      <c r="Z3" s="95"/>
      <c r="AA3" s="95"/>
      <c r="AB3" s="95"/>
      <c r="AC3" s="95"/>
      <c r="AD3" s="95"/>
      <c r="AE3" s="95"/>
      <c r="AF3" s="95"/>
      <c r="AG3" s="95"/>
      <c r="AH3" s="95"/>
      <c r="AI3" s="95"/>
      <c r="AJ3" s="95"/>
      <c r="AK3" s="95"/>
      <c r="AL3" s="95"/>
      <c r="AM3" s="95"/>
      <c r="AN3" s="101"/>
    </row>
    <row r="4" spans="2:40" ht="12.75">
      <c r="B4" s="42"/>
      <c r="C4" s="35"/>
      <c r="D4" s="35"/>
      <c r="E4" s="35"/>
      <c r="F4" s="35"/>
      <c r="G4" s="35"/>
      <c r="H4" s="35"/>
      <c r="I4" s="35"/>
      <c r="J4" s="35"/>
      <c r="K4" s="35"/>
      <c r="L4" s="35"/>
      <c r="M4" s="35"/>
      <c r="N4" s="35"/>
      <c r="O4" s="35"/>
      <c r="P4" s="35"/>
      <c r="Q4" s="35"/>
      <c r="R4" s="35"/>
      <c r="S4" s="35"/>
      <c r="T4" s="35"/>
      <c r="U4" s="35"/>
      <c r="V4" s="36"/>
      <c r="X4" s="105"/>
      <c r="Y4" s="95"/>
      <c r="Z4" s="95"/>
      <c r="AA4" s="95"/>
      <c r="AB4" s="95"/>
      <c r="AC4" s="95"/>
      <c r="AD4" s="95"/>
      <c r="AE4" s="95"/>
      <c r="AF4" s="95"/>
      <c r="AG4" s="95"/>
      <c r="AH4" s="95"/>
      <c r="AI4" s="95"/>
      <c r="AJ4" s="95"/>
      <c r="AK4" s="95"/>
      <c r="AL4" s="95"/>
      <c r="AM4" s="95"/>
      <c r="AN4" s="101"/>
    </row>
    <row r="5" spans="2:40" ht="12.75">
      <c r="B5" s="42"/>
      <c r="C5" s="34"/>
      <c r="D5" s="78" t="s">
        <v>45</v>
      </c>
      <c r="E5" s="35"/>
      <c r="F5" s="46" t="s">
        <v>133</v>
      </c>
      <c r="G5" s="34"/>
      <c r="H5" s="34"/>
      <c r="I5" s="34"/>
      <c r="J5" s="34"/>
      <c r="K5" s="35"/>
      <c r="L5" s="35"/>
      <c r="M5" s="35"/>
      <c r="N5" s="35"/>
      <c r="O5" s="35"/>
      <c r="P5" s="35"/>
      <c r="Q5" s="35"/>
      <c r="R5" s="78" t="s">
        <v>101</v>
      </c>
      <c r="S5" s="35"/>
      <c r="T5" s="204">
        <v>1</v>
      </c>
      <c r="U5" s="35"/>
      <c r="V5" s="36"/>
      <c r="X5" s="105"/>
      <c r="Y5" s="95"/>
      <c r="Z5" s="95"/>
      <c r="AA5" s="95"/>
      <c r="AB5" s="95"/>
      <c r="AC5" s="95"/>
      <c r="AD5" s="95"/>
      <c r="AE5" s="95"/>
      <c r="AF5" s="95"/>
      <c r="AG5" s="95"/>
      <c r="AH5" s="95"/>
      <c r="AI5" s="95"/>
      <c r="AJ5" s="95"/>
      <c r="AK5" s="95"/>
      <c r="AL5" s="95"/>
      <c r="AM5" s="95"/>
      <c r="AN5" s="101"/>
    </row>
    <row r="6" spans="2:40" ht="12.75">
      <c r="B6" s="42"/>
      <c r="C6" s="34"/>
      <c r="D6" s="34"/>
      <c r="E6" s="34"/>
      <c r="F6" s="34"/>
      <c r="G6" s="34"/>
      <c r="H6" s="34"/>
      <c r="I6" s="34"/>
      <c r="J6" s="34"/>
      <c r="K6" s="35"/>
      <c r="L6" s="35"/>
      <c r="M6" s="35"/>
      <c r="N6" s="35"/>
      <c r="O6" s="35"/>
      <c r="P6" s="35"/>
      <c r="Q6" s="35"/>
      <c r="R6" s="35"/>
      <c r="S6" s="35"/>
      <c r="T6" s="35"/>
      <c r="U6" s="35"/>
      <c r="V6" s="36"/>
      <c r="X6" s="105"/>
      <c r="Y6" s="95"/>
      <c r="Z6" s="95"/>
      <c r="AA6" s="95"/>
      <c r="AB6" s="95"/>
      <c r="AC6" s="95"/>
      <c r="AD6" s="95"/>
      <c r="AE6" s="95"/>
      <c r="AF6" s="95"/>
      <c r="AG6" s="95"/>
      <c r="AH6" s="95"/>
      <c r="AI6" s="95"/>
      <c r="AJ6" s="95"/>
      <c r="AK6" s="95"/>
      <c r="AL6" s="95"/>
      <c r="AM6" s="95"/>
      <c r="AN6" s="101"/>
    </row>
    <row r="7" spans="2:40" ht="12.75">
      <c r="B7" s="42"/>
      <c r="C7" s="34"/>
      <c r="D7" s="78" t="s">
        <v>44</v>
      </c>
      <c r="E7" s="34"/>
      <c r="F7" s="214" t="s">
        <v>146</v>
      </c>
      <c r="G7" s="228"/>
      <c r="H7" s="228"/>
      <c r="I7" s="228"/>
      <c r="J7" s="228"/>
      <c r="K7" s="229"/>
      <c r="L7" s="35"/>
      <c r="M7" s="35"/>
      <c r="N7" s="35"/>
      <c r="O7" s="35"/>
      <c r="P7" s="35"/>
      <c r="Q7" s="35"/>
      <c r="R7" s="35"/>
      <c r="S7" s="35"/>
      <c r="T7" s="35"/>
      <c r="U7" s="35"/>
      <c r="V7" s="36"/>
      <c r="X7" s="105"/>
      <c r="Y7" s="95"/>
      <c r="Z7" s="95"/>
      <c r="AA7" s="95"/>
      <c r="AB7" s="95"/>
      <c r="AC7" s="95"/>
      <c r="AD7" s="95"/>
      <c r="AE7" s="95"/>
      <c r="AF7" s="95"/>
      <c r="AG7" s="95"/>
      <c r="AH7" s="95"/>
      <c r="AI7" s="95"/>
      <c r="AJ7" s="95"/>
      <c r="AK7" s="95"/>
      <c r="AL7" s="95"/>
      <c r="AM7" s="95"/>
      <c r="AN7" s="101"/>
    </row>
    <row r="8" spans="2:40" ht="12.75">
      <c r="B8" s="42"/>
      <c r="C8" s="34"/>
      <c r="D8" s="35"/>
      <c r="E8" s="34"/>
      <c r="F8" s="230" t="s">
        <v>135</v>
      </c>
      <c r="G8" s="231"/>
      <c r="H8" s="231"/>
      <c r="I8" s="231"/>
      <c r="J8" s="231"/>
      <c r="K8" s="232"/>
      <c r="L8" s="34"/>
      <c r="M8" s="34"/>
      <c r="N8" s="34"/>
      <c r="O8" s="35"/>
      <c r="P8" s="35"/>
      <c r="Q8" s="35"/>
      <c r="R8" s="35"/>
      <c r="S8" s="35"/>
      <c r="T8" s="35"/>
      <c r="U8" s="35"/>
      <c r="V8" s="36"/>
      <c r="X8" s="105"/>
      <c r="Y8" s="95"/>
      <c r="Z8" s="95"/>
      <c r="AA8" s="95"/>
      <c r="AB8" s="95"/>
      <c r="AC8" s="95"/>
      <c r="AD8" s="95"/>
      <c r="AE8" s="95"/>
      <c r="AF8" s="95"/>
      <c r="AG8" s="95"/>
      <c r="AH8" s="95"/>
      <c r="AI8" s="95"/>
      <c r="AJ8" s="95"/>
      <c r="AK8" s="95"/>
      <c r="AL8" s="95"/>
      <c r="AM8" s="95"/>
      <c r="AN8" s="101"/>
    </row>
    <row r="9" spans="2:40" ht="12.75">
      <c r="B9" s="42"/>
      <c r="C9" s="34"/>
      <c r="D9" s="34"/>
      <c r="E9" s="34"/>
      <c r="F9" s="34"/>
      <c r="G9" s="34"/>
      <c r="H9" s="34"/>
      <c r="I9" s="34"/>
      <c r="J9" s="35"/>
      <c r="K9" s="35"/>
      <c r="L9" s="35"/>
      <c r="M9" s="35"/>
      <c r="N9" s="35"/>
      <c r="O9" s="35"/>
      <c r="P9" s="35"/>
      <c r="Q9" s="35"/>
      <c r="R9" s="35"/>
      <c r="S9" s="35"/>
      <c r="T9" s="35"/>
      <c r="U9" s="35"/>
      <c r="V9" s="36"/>
      <c r="X9" s="105"/>
      <c r="Y9" s="95"/>
      <c r="Z9" s="95"/>
      <c r="AA9" s="95"/>
      <c r="AB9" s="95"/>
      <c r="AC9" s="95"/>
      <c r="AD9" s="95"/>
      <c r="AE9" s="95"/>
      <c r="AF9" s="95"/>
      <c r="AG9" s="95"/>
      <c r="AH9" s="95"/>
      <c r="AI9" s="95"/>
      <c r="AJ9" s="95"/>
      <c r="AK9" s="95"/>
      <c r="AL9" s="95"/>
      <c r="AM9" s="95"/>
      <c r="AN9" s="101"/>
    </row>
    <row r="10" spans="2:40" ht="12.75">
      <c r="B10" s="42"/>
      <c r="C10" s="34"/>
      <c r="D10" s="78" t="s">
        <v>46</v>
      </c>
      <c r="E10" s="35"/>
      <c r="F10" s="84"/>
      <c r="G10" s="35"/>
      <c r="H10" s="35"/>
      <c r="I10" s="35"/>
      <c r="J10" s="35"/>
      <c r="K10" s="35"/>
      <c r="L10" s="166">
        <f>L13*P13/O13/S13</f>
        <v>3348.306367301269</v>
      </c>
      <c r="M10" s="167" t="s">
        <v>173</v>
      </c>
      <c r="N10" s="35"/>
      <c r="O10" s="172" t="s">
        <v>174</v>
      </c>
      <c r="P10" s="233" t="s">
        <v>184</v>
      </c>
      <c r="Q10" s="233"/>
      <c r="R10" s="233"/>
      <c r="S10" s="172" t="s">
        <v>185</v>
      </c>
      <c r="T10" s="34"/>
      <c r="U10" s="34"/>
      <c r="V10" s="36"/>
      <c r="X10" s="105"/>
      <c r="Y10" s="95"/>
      <c r="Z10" s="95"/>
      <c r="AA10" s="95"/>
      <c r="AB10" s="95"/>
      <c r="AC10" s="95"/>
      <c r="AD10" s="95"/>
      <c r="AE10" s="95"/>
      <c r="AF10" s="95"/>
      <c r="AG10" s="95"/>
      <c r="AH10" s="95"/>
      <c r="AI10" s="95"/>
      <c r="AJ10" s="95"/>
      <c r="AK10" s="95"/>
      <c r="AL10" s="95"/>
      <c r="AM10" s="95"/>
      <c r="AN10" s="101"/>
    </row>
    <row r="11" spans="2:40" ht="12.75">
      <c r="B11" s="42"/>
      <c r="C11" s="34"/>
      <c r="D11" s="40" t="s">
        <v>201</v>
      </c>
      <c r="E11" s="40" t="s">
        <v>202</v>
      </c>
      <c r="F11" s="40" t="s">
        <v>49</v>
      </c>
      <c r="G11" s="40" t="s">
        <v>174</v>
      </c>
      <c r="H11" s="40" t="s">
        <v>175</v>
      </c>
      <c r="I11" s="235" t="s">
        <v>176</v>
      </c>
      <c r="J11" s="235"/>
      <c r="K11" s="40" t="s">
        <v>50</v>
      </c>
      <c r="L11" s="166">
        <f>L13*R13/O13/S13</f>
        <v>0</v>
      </c>
      <c r="M11" s="167" t="s">
        <v>177</v>
      </c>
      <c r="N11" s="34"/>
      <c r="O11" s="172" t="s">
        <v>186</v>
      </c>
      <c r="P11" s="173" t="s">
        <v>187</v>
      </c>
      <c r="Q11" s="234" t="s">
        <v>188</v>
      </c>
      <c r="R11" s="234"/>
      <c r="S11" s="172" t="s">
        <v>189</v>
      </c>
      <c r="T11" s="34"/>
      <c r="U11" s="34"/>
      <c r="V11" s="36"/>
      <c r="X11" s="105"/>
      <c r="Y11" s="95"/>
      <c r="Z11" s="95"/>
      <c r="AA11" s="95"/>
      <c r="AB11" s="95"/>
      <c r="AC11" s="95"/>
      <c r="AD11" s="95"/>
      <c r="AE11" s="95"/>
      <c r="AF11" s="95"/>
      <c r="AG11" s="95"/>
      <c r="AH11" s="95"/>
      <c r="AI11" s="95"/>
      <c r="AJ11" s="95"/>
      <c r="AK11" s="95"/>
      <c r="AL11" s="95"/>
      <c r="AM11" s="95"/>
      <c r="AN11" s="101"/>
    </row>
    <row r="12" spans="2:40" ht="12.75">
      <c r="B12" s="42"/>
      <c r="C12" s="34"/>
      <c r="D12" s="40" t="s">
        <v>52</v>
      </c>
      <c r="E12" s="40" t="s">
        <v>52</v>
      </c>
      <c r="F12" s="40" t="s">
        <v>47</v>
      </c>
      <c r="G12" s="40" t="s">
        <v>178</v>
      </c>
      <c r="H12" s="40" t="s">
        <v>178</v>
      </c>
      <c r="I12" s="235" t="s">
        <v>179</v>
      </c>
      <c r="J12" s="235"/>
      <c r="K12" s="40" t="s">
        <v>51</v>
      </c>
      <c r="L12" s="166">
        <f>L13*Q13/O13/S13</f>
        <v>536.2192763923332</v>
      </c>
      <c r="M12" s="168" t="s">
        <v>180</v>
      </c>
      <c r="N12" s="34"/>
      <c r="O12" s="173" t="s">
        <v>190</v>
      </c>
      <c r="P12" s="173" t="s">
        <v>174</v>
      </c>
      <c r="Q12" s="173" t="s">
        <v>176</v>
      </c>
      <c r="R12" s="173" t="s">
        <v>191</v>
      </c>
      <c r="S12" s="173" t="s">
        <v>53</v>
      </c>
      <c r="T12" s="34"/>
      <c r="U12" s="34"/>
      <c r="V12" s="36"/>
      <c r="X12" s="105"/>
      <c r="Y12" s="95"/>
      <c r="Z12" s="95"/>
      <c r="AA12" s="95"/>
      <c r="AB12" s="95"/>
      <c r="AC12" s="95"/>
      <c r="AD12" s="95"/>
      <c r="AE12" s="95"/>
      <c r="AF12" s="95"/>
      <c r="AG12" s="95"/>
      <c r="AH12" s="95"/>
      <c r="AI12" s="95"/>
      <c r="AJ12" s="95"/>
      <c r="AK12" s="95"/>
      <c r="AL12" s="95"/>
      <c r="AM12" s="95"/>
      <c r="AN12" s="101"/>
    </row>
    <row r="13" spans="2:40" ht="12.75">
      <c r="B13" s="42"/>
      <c r="C13" s="34"/>
      <c r="D13" s="195">
        <v>18.5</v>
      </c>
      <c r="E13" s="195">
        <v>22</v>
      </c>
      <c r="F13" s="196">
        <v>72</v>
      </c>
      <c r="G13" s="197">
        <v>38</v>
      </c>
      <c r="H13" s="198">
        <v>38</v>
      </c>
      <c r="I13" s="236">
        <v>100</v>
      </c>
      <c r="J13" s="237"/>
      <c r="K13" s="178">
        <f>(180/PI())*ASIN($L13/(0.238*$D13^3.5*($E13/$D13)*($F13/100)*$S13*($G13/100-1.065*$G13*$G13/10000)))</f>
        <v>35</v>
      </c>
      <c r="L13" s="47">
        <f>L15*(1-L14/100)</f>
        <v>3884.5256436936015</v>
      </c>
      <c r="M13" s="169" t="s">
        <v>181</v>
      </c>
      <c r="N13" s="34"/>
      <c r="O13" s="174">
        <f>(G13/100)*PI()*($D$13*0.305)^2*($E$13*0.305)/4</f>
        <v>63.75865304524112</v>
      </c>
      <c r="P13" s="174">
        <f>(1-0.4)*R18*(H13/100)*PI()*($D$13*0.305)^2*($E$13*0.305)/4</f>
        <v>296.4777366603712</v>
      </c>
      <c r="Q13" s="174">
        <f>L49*(I13/100)*0.4*(H13/100)*PI()*($D$13*0.305)^2*($E$13*0.305)/4</f>
        <v>47.479848012413605</v>
      </c>
      <c r="R13" s="174">
        <f>L49*(G13/100-H13/100)*PI()*($D$13*0.305)^2*($E$13*0.305)/4</f>
        <v>0</v>
      </c>
      <c r="S13" s="175">
        <f>(P13+R13+Q13)/O13</f>
        <v>5.394680851063829</v>
      </c>
      <c r="T13" s="34"/>
      <c r="U13" s="34"/>
      <c r="V13" s="36"/>
      <c r="X13" s="105"/>
      <c r="Y13" s="95"/>
      <c r="Z13" s="222" t="s">
        <v>207</v>
      </c>
      <c r="AA13" s="223"/>
      <c r="AB13" s="223"/>
      <c r="AC13" s="223"/>
      <c r="AD13" s="223"/>
      <c r="AE13" s="223"/>
      <c r="AF13" s="223"/>
      <c r="AG13" s="223"/>
      <c r="AH13" s="223"/>
      <c r="AI13" s="223"/>
      <c r="AJ13" s="223"/>
      <c r="AK13" s="223"/>
      <c r="AL13" s="223"/>
      <c r="AM13" s="224"/>
      <c r="AN13" s="101"/>
    </row>
    <row r="14" spans="2:40" ht="12.75">
      <c r="B14" s="42"/>
      <c r="C14" s="37"/>
      <c r="D14" s="37"/>
      <c r="E14" s="40" t="s">
        <v>199</v>
      </c>
      <c r="F14" s="177">
        <f>(76.6/D13^0.5)*(F13/100)</f>
        <v>12.82257954399824</v>
      </c>
      <c r="G14" s="38"/>
      <c r="H14" s="38"/>
      <c r="I14" s="85"/>
      <c r="J14" s="35"/>
      <c r="K14" s="35"/>
      <c r="L14" s="195">
        <v>10</v>
      </c>
      <c r="M14" s="170" t="s">
        <v>182</v>
      </c>
      <c r="N14" s="34"/>
      <c r="O14" s="34"/>
      <c r="P14" s="34"/>
      <c r="Q14" s="34"/>
      <c r="R14" s="34"/>
      <c r="S14" s="34"/>
      <c r="T14" s="35"/>
      <c r="U14" s="35"/>
      <c r="V14" s="36"/>
      <c r="X14" s="105"/>
      <c r="Y14" s="95"/>
      <c r="Z14" s="95"/>
      <c r="AA14" s="95"/>
      <c r="AB14" s="95"/>
      <c r="AC14" s="95"/>
      <c r="AD14" s="95"/>
      <c r="AE14" s="95"/>
      <c r="AF14" s="95"/>
      <c r="AG14" s="95"/>
      <c r="AH14" s="95"/>
      <c r="AI14" s="95"/>
      <c r="AJ14" s="95"/>
      <c r="AK14" s="95"/>
      <c r="AL14" s="95"/>
      <c r="AM14" s="95"/>
      <c r="AN14" s="101"/>
    </row>
    <row r="15" spans="2:40" ht="12.75">
      <c r="B15" s="42"/>
      <c r="C15" s="34"/>
      <c r="D15" s="34"/>
      <c r="E15" s="34"/>
      <c r="F15" s="34"/>
      <c r="G15" s="34"/>
      <c r="H15" s="34"/>
      <c r="I15" s="34"/>
      <c r="J15" s="35"/>
      <c r="K15" s="35"/>
      <c r="L15" s="199">
        <v>4316.139604104002</v>
      </c>
      <c r="M15" s="171" t="s">
        <v>183</v>
      </c>
      <c r="N15" s="34"/>
      <c r="O15" s="78" t="s">
        <v>172</v>
      </c>
      <c r="P15" s="35"/>
      <c r="Q15" s="35"/>
      <c r="R15" s="195">
        <v>400</v>
      </c>
      <c r="S15" s="34"/>
      <c r="T15" s="34"/>
      <c r="U15" s="34"/>
      <c r="V15" s="36"/>
      <c r="X15" s="105"/>
      <c r="Y15" s="95"/>
      <c r="Z15" s="95"/>
      <c r="AA15" s="95"/>
      <c r="AB15" s="95"/>
      <c r="AC15" s="95"/>
      <c r="AD15" s="95"/>
      <c r="AE15" s="95"/>
      <c r="AF15" s="95"/>
      <c r="AG15" s="95"/>
      <c r="AH15" s="95"/>
      <c r="AI15" s="95"/>
      <c r="AJ15" s="95"/>
      <c r="AK15" s="95"/>
      <c r="AL15" s="95"/>
      <c r="AM15" s="95"/>
      <c r="AN15" s="101"/>
    </row>
    <row r="16" spans="2:40" ht="12.75">
      <c r="B16" s="42"/>
      <c r="C16" s="78"/>
      <c r="D16" s="78" t="s">
        <v>149</v>
      </c>
      <c r="E16" s="35"/>
      <c r="F16" s="84"/>
      <c r="G16" s="35"/>
      <c r="H16" s="35"/>
      <c r="I16" s="35"/>
      <c r="J16" s="35"/>
      <c r="K16" s="34"/>
      <c r="L16" s="34"/>
      <c r="M16" s="35"/>
      <c r="N16" s="34"/>
      <c r="O16" s="78"/>
      <c r="P16" s="35"/>
      <c r="Q16" s="35"/>
      <c r="R16" s="176"/>
      <c r="S16" s="34"/>
      <c r="T16" s="35"/>
      <c r="U16" s="35"/>
      <c r="V16" s="36"/>
      <c r="X16" s="105"/>
      <c r="Y16" s="95"/>
      <c r="Z16" s="95"/>
      <c r="AA16" s="95"/>
      <c r="AB16" s="95"/>
      <c r="AC16" s="95"/>
      <c r="AD16" s="95"/>
      <c r="AE16" s="95"/>
      <c r="AF16" s="95"/>
      <c r="AG16" s="95"/>
      <c r="AH16" s="95"/>
      <c r="AI16" s="95"/>
      <c r="AJ16" s="95"/>
      <c r="AK16" s="95"/>
      <c r="AL16" s="95"/>
      <c r="AM16" s="95"/>
      <c r="AN16" s="101"/>
    </row>
    <row r="17" spans="2:40" ht="12.75">
      <c r="B17" s="42"/>
      <c r="C17" s="78"/>
      <c r="D17" s="40" t="s">
        <v>54</v>
      </c>
      <c r="E17" s="40" t="s">
        <v>48</v>
      </c>
      <c r="F17" s="40" t="s">
        <v>66</v>
      </c>
      <c r="G17" s="40" t="s">
        <v>62</v>
      </c>
      <c r="H17" s="40" t="s">
        <v>63</v>
      </c>
      <c r="I17" s="40" t="s">
        <v>64</v>
      </c>
      <c r="J17" s="40" t="s">
        <v>110</v>
      </c>
      <c r="K17" s="34"/>
      <c r="L17" s="34"/>
      <c r="M17" s="35"/>
      <c r="N17" s="34"/>
      <c r="O17" s="78" t="s">
        <v>59</v>
      </c>
      <c r="P17" s="35"/>
      <c r="Q17" s="35"/>
      <c r="R17" s="198">
        <v>2.8</v>
      </c>
      <c r="S17" s="34"/>
      <c r="T17" s="35"/>
      <c r="U17" s="35"/>
      <c r="V17" s="36"/>
      <c r="X17" s="105"/>
      <c r="Y17" s="95"/>
      <c r="Z17" s="95"/>
      <c r="AA17" s="95"/>
      <c r="AB17" s="95"/>
      <c r="AC17" s="95"/>
      <c r="AD17" s="95"/>
      <c r="AE17" s="95"/>
      <c r="AF17" s="95"/>
      <c r="AG17" s="95"/>
      <c r="AH17" s="95"/>
      <c r="AI17" s="95"/>
      <c r="AJ17" s="95"/>
      <c r="AK17" s="95"/>
      <c r="AL17" s="95"/>
      <c r="AM17" s="95"/>
      <c r="AN17" s="101"/>
    </row>
    <row r="18" spans="2:40" ht="12.75">
      <c r="B18" s="42"/>
      <c r="C18" s="78"/>
      <c r="D18" s="200">
        <v>10</v>
      </c>
      <c r="E18" s="196">
        <v>20</v>
      </c>
      <c r="F18" s="196">
        <v>75</v>
      </c>
      <c r="G18" s="201">
        <v>3.5</v>
      </c>
      <c r="H18" s="201">
        <v>7.5</v>
      </c>
      <c r="I18" s="201">
        <v>3.6695075563417805</v>
      </c>
      <c r="J18" s="201">
        <v>7.977138232624562</v>
      </c>
      <c r="K18" s="34"/>
      <c r="L18" s="34"/>
      <c r="M18" s="35"/>
      <c r="N18" s="34"/>
      <c r="O18" s="78" t="s">
        <v>192</v>
      </c>
      <c r="P18" s="35"/>
      <c r="Q18" s="35"/>
      <c r="R18" s="198">
        <v>7.75</v>
      </c>
      <c r="S18" s="34"/>
      <c r="T18" s="35"/>
      <c r="U18" s="35"/>
      <c r="V18" s="36"/>
      <c r="X18" s="105"/>
      <c r="Y18" s="95"/>
      <c r="Z18" s="95"/>
      <c r="AA18" s="95"/>
      <c r="AB18" s="95"/>
      <c r="AC18" s="95"/>
      <c r="AD18" s="95"/>
      <c r="AE18" s="95"/>
      <c r="AF18" s="95"/>
      <c r="AG18" s="95"/>
      <c r="AH18" s="95"/>
      <c r="AI18" s="95"/>
      <c r="AJ18" s="95"/>
      <c r="AK18" s="95"/>
      <c r="AL18" s="95"/>
      <c r="AM18" s="95"/>
      <c r="AN18" s="101"/>
    </row>
    <row r="19" spans="2:40" ht="12.75">
      <c r="B19" s="42"/>
      <c r="C19" s="78"/>
      <c r="D19" s="78"/>
      <c r="E19" s="193" t="s">
        <v>208</v>
      </c>
      <c r="F19" s="208">
        <f>3*$E$18</f>
        <v>60</v>
      </c>
      <c r="G19" s="208">
        <f>0.25*$E$18</f>
        <v>5</v>
      </c>
      <c r="H19" s="208">
        <f>0.35*$E$18</f>
        <v>7</v>
      </c>
      <c r="I19" s="208">
        <f>0.5*$H$19</f>
        <v>3.5</v>
      </c>
      <c r="J19" s="78"/>
      <c r="K19" s="78"/>
      <c r="L19" s="78"/>
      <c r="M19" s="78"/>
      <c r="N19" s="78"/>
      <c r="O19" s="78"/>
      <c r="P19" s="78"/>
      <c r="Q19" s="78"/>
      <c r="R19" s="78"/>
      <c r="S19" s="34"/>
      <c r="T19" s="35"/>
      <c r="U19" s="35"/>
      <c r="V19" s="36"/>
      <c r="X19" s="105"/>
      <c r="Y19" s="95"/>
      <c r="Z19" s="95"/>
      <c r="AA19" s="95"/>
      <c r="AB19" s="95"/>
      <c r="AC19" s="95"/>
      <c r="AD19" s="95"/>
      <c r="AE19" s="95"/>
      <c r="AF19" s="95"/>
      <c r="AG19" s="95"/>
      <c r="AH19" s="95"/>
      <c r="AI19" s="95"/>
      <c r="AJ19" s="95"/>
      <c r="AK19" s="95"/>
      <c r="AL19" s="95"/>
      <c r="AM19" s="95"/>
      <c r="AN19" s="101"/>
    </row>
    <row r="20" spans="2:40" ht="13.5" thickBot="1">
      <c r="B20" s="42"/>
      <c r="C20" s="78"/>
      <c r="D20" s="34"/>
      <c r="E20" s="34"/>
      <c r="F20" s="34"/>
      <c r="G20" s="34"/>
      <c r="H20" s="34"/>
      <c r="I20" s="34"/>
      <c r="J20" s="34"/>
      <c r="K20" s="34"/>
      <c r="L20" s="34"/>
      <c r="M20" s="35"/>
      <c r="N20" s="34"/>
      <c r="O20" s="34"/>
      <c r="P20" s="34"/>
      <c r="Q20" s="34"/>
      <c r="R20" s="34"/>
      <c r="S20" s="34"/>
      <c r="T20" s="35"/>
      <c r="U20" s="35"/>
      <c r="V20" s="36"/>
      <c r="X20" s="105"/>
      <c r="Y20" s="95"/>
      <c r="Z20" s="95"/>
      <c r="AA20" s="95"/>
      <c r="AB20" s="95"/>
      <c r="AC20" s="95"/>
      <c r="AD20" s="95"/>
      <c r="AE20" s="95"/>
      <c r="AF20" s="95"/>
      <c r="AG20" s="95"/>
      <c r="AH20" s="95"/>
      <c r="AI20" s="95"/>
      <c r="AJ20" s="95"/>
      <c r="AK20" s="95"/>
      <c r="AL20" s="95"/>
      <c r="AM20" s="95"/>
      <c r="AN20" s="101"/>
    </row>
    <row r="21" spans="2:40" ht="17.25" thickBot="1" thickTop="1">
      <c r="B21" s="42"/>
      <c r="C21" s="86"/>
      <c r="D21" s="86"/>
      <c r="E21" s="87"/>
      <c r="F21" s="35"/>
      <c r="G21" s="227" t="s">
        <v>147</v>
      </c>
      <c r="H21" s="212"/>
      <c r="I21" s="212"/>
      <c r="J21" s="212"/>
      <c r="K21" s="212"/>
      <c r="L21" s="212"/>
      <c r="M21" s="212"/>
      <c r="N21" s="212"/>
      <c r="O21" s="212"/>
      <c r="P21" s="212"/>
      <c r="Q21" s="212"/>
      <c r="R21" s="212"/>
      <c r="S21" s="212"/>
      <c r="T21" s="212"/>
      <c r="U21" s="213"/>
      <c r="V21" s="36"/>
      <c r="X21" s="105"/>
      <c r="Y21" s="95"/>
      <c r="Z21" s="95"/>
      <c r="AA21" s="95"/>
      <c r="AB21" s="95"/>
      <c r="AC21" s="95"/>
      <c r="AD21" s="95"/>
      <c r="AE21" s="95"/>
      <c r="AF21" s="95"/>
      <c r="AG21" s="95"/>
      <c r="AH21" s="95"/>
      <c r="AI21" s="95"/>
      <c r="AJ21" s="95"/>
      <c r="AK21" s="95"/>
      <c r="AL21" s="95"/>
      <c r="AM21" s="95"/>
      <c r="AN21" s="101"/>
    </row>
    <row r="22" spans="2:40" ht="13.5" thickTop="1">
      <c r="B22" s="42"/>
      <c r="C22" s="35"/>
      <c r="D22" s="35"/>
      <c r="E22" s="35"/>
      <c r="F22" s="35"/>
      <c r="G22" s="225" t="s">
        <v>102</v>
      </c>
      <c r="H22" s="225"/>
      <c r="I22" s="225"/>
      <c r="J22" s="225" t="s">
        <v>126</v>
      </c>
      <c r="K22" s="225"/>
      <c r="L22" s="225"/>
      <c r="M22" s="225" t="s">
        <v>127</v>
      </c>
      <c r="N22" s="225"/>
      <c r="O22" s="225"/>
      <c r="P22" s="225" t="s">
        <v>117</v>
      </c>
      <c r="Q22" s="225"/>
      <c r="R22" s="225"/>
      <c r="S22" s="225" t="s">
        <v>118</v>
      </c>
      <c r="T22" s="225"/>
      <c r="U22" s="225"/>
      <c r="V22" s="117"/>
      <c r="X22" s="105"/>
      <c r="Y22" s="95"/>
      <c r="Z22" s="97" t="s">
        <v>106</v>
      </c>
      <c r="AA22" s="97" t="s">
        <v>108</v>
      </c>
      <c r="AB22" s="219" t="s">
        <v>107</v>
      </c>
      <c r="AC22" s="220"/>
      <c r="AD22" s="221"/>
      <c r="AE22" s="95"/>
      <c r="AF22" s="219" t="s">
        <v>119</v>
      </c>
      <c r="AG22" s="220"/>
      <c r="AH22" s="221"/>
      <c r="AI22" s="95"/>
      <c r="AJ22" s="219" t="s">
        <v>129</v>
      </c>
      <c r="AK22" s="220"/>
      <c r="AL22" s="221"/>
      <c r="AM22" s="95"/>
      <c r="AN22" s="101"/>
    </row>
    <row r="23" spans="2:40" ht="12.75">
      <c r="B23" s="42"/>
      <c r="C23" s="40" t="s">
        <v>2</v>
      </c>
      <c r="D23" s="40" t="s">
        <v>0</v>
      </c>
      <c r="E23" s="40" t="s">
        <v>1</v>
      </c>
      <c r="F23" s="40" t="s">
        <v>3</v>
      </c>
      <c r="G23" s="133" t="s">
        <v>57</v>
      </c>
      <c r="H23" s="40" t="s">
        <v>55</v>
      </c>
      <c r="I23" s="124" t="s">
        <v>56</v>
      </c>
      <c r="J23" s="40" t="s">
        <v>57</v>
      </c>
      <c r="K23" s="40" t="s">
        <v>55</v>
      </c>
      <c r="L23" s="124" t="s">
        <v>56</v>
      </c>
      <c r="M23" s="40" t="s">
        <v>57</v>
      </c>
      <c r="N23" s="40" t="s">
        <v>55</v>
      </c>
      <c r="O23" s="124" t="s">
        <v>56</v>
      </c>
      <c r="P23" s="40" t="s">
        <v>57</v>
      </c>
      <c r="Q23" s="40" t="s">
        <v>55</v>
      </c>
      <c r="R23" s="124" t="s">
        <v>56</v>
      </c>
      <c r="S23" s="40" t="s">
        <v>57</v>
      </c>
      <c r="T23" s="40" t="s">
        <v>55</v>
      </c>
      <c r="U23" s="124" t="s">
        <v>56</v>
      </c>
      <c r="V23" s="41"/>
      <c r="X23" s="105"/>
      <c r="Y23" s="95"/>
      <c r="Z23" s="97" t="s">
        <v>104</v>
      </c>
      <c r="AA23" s="97"/>
      <c r="AB23" s="102" t="s">
        <v>57</v>
      </c>
      <c r="AC23" s="97" t="s">
        <v>55</v>
      </c>
      <c r="AD23" s="103" t="s">
        <v>56</v>
      </c>
      <c r="AE23" s="104" t="s">
        <v>109</v>
      </c>
      <c r="AF23" s="102" t="s">
        <v>57</v>
      </c>
      <c r="AG23" s="97" t="s">
        <v>55</v>
      </c>
      <c r="AH23" s="103" t="s">
        <v>56</v>
      </c>
      <c r="AI23" s="104" t="s">
        <v>109</v>
      </c>
      <c r="AJ23" s="102" t="s">
        <v>57</v>
      </c>
      <c r="AK23" s="97" t="s">
        <v>55</v>
      </c>
      <c r="AL23" s="103" t="s">
        <v>56</v>
      </c>
      <c r="AM23" s="104" t="s">
        <v>109</v>
      </c>
      <c r="AN23" s="101"/>
    </row>
    <row r="24" spans="2:40" ht="12.75">
      <c r="B24" s="42"/>
      <c r="C24" s="35"/>
      <c r="D24" s="35"/>
      <c r="E24" s="35"/>
      <c r="F24" s="35"/>
      <c r="G24" s="134"/>
      <c r="H24" s="35"/>
      <c r="I24" s="125"/>
      <c r="J24" s="35"/>
      <c r="K24" s="35"/>
      <c r="L24" s="125"/>
      <c r="M24" s="35"/>
      <c r="N24" s="35"/>
      <c r="O24" s="131"/>
      <c r="P24" s="35"/>
      <c r="Q24" s="35"/>
      <c r="R24" s="125"/>
      <c r="S24" s="35"/>
      <c r="T24" s="35"/>
      <c r="U24" s="125"/>
      <c r="V24" s="36"/>
      <c r="X24" s="105"/>
      <c r="Y24" s="95"/>
      <c r="Z24" s="95"/>
      <c r="AA24" s="95"/>
      <c r="AB24" s="105"/>
      <c r="AC24" s="95"/>
      <c r="AD24" s="99"/>
      <c r="AE24" s="106"/>
      <c r="AF24" s="105"/>
      <c r="AG24" s="95"/>
      <c r="AH24" s="99"/>
      <c r="AI24" s="99"/>
      <c r="AJ24" s="105"/>
      <c r="AK24" s="95"/>
      <c r="AL24" s="99"/>
      <c r="AM24" s="107"/>
      <c r="AN24" s="101"/>
    </row>
    <row r="25" spans="2:40" ht="12.75">
      <c r="B25" s="42"/>
      <c r="C25" s="210">
        <v>1</v>
      </c>
      <c r="D25" s="200">
        <v>1.05</v>
      </c>
      <c r="E25" s="200">
        <v>25400</v>
      </c>
      <c r="F25" s="132"/>
      <c r="G25" s="135"/>
      <c r="H25" s="49"/>
      <c r="I25" s="146">
        <v>100</v>
      </c>
      <c r="J25" s="50"/>
      <c r="K25" s="49"/>
      <c r="L25" s="146">
        <v>100</v>
      </c>
      <c r="M25" s="50"/>
      <c r="N25" s="50"/>
      <c r="O25" s="143">
        <f>L25</f>
        <v>100</v>
      </c>
      <c r="P25" s="50"/>
      <c r="Q25" s="49"/>
      <c r="R25" s="146">
        <v>100</v>
      </c>
      <c r="S25" s="50"/>
      <c r="T25" s="49"/>
      <c r="U25" s="146">
        <v>100</v>
      </c>
      <c r="V25" s="36"/>
      <c r="X25" s="105"/>
      <c r="Y25" s="95"/>
      <c r="Z25" s="98" t="str">
        <f>IF((O25-R25)&gt;3,(U25-O25)/(O25-R25)," ")</f>
        <v> </v>
      </c>
      <c r="AA25" s="99"/>
      <c r="AB25" s="108"/>
      <c r="AC25" s="107"/>
      <c r="AD25" s="53">
        <f aca="true" t="shared" si="0" ref="AD25:AD43">AD26+AC26</f>
        <v>100</v>
      </c>
      <c r="AE25" s="88">
        <f>AD25-O25</f>
        <v>0</v>
      </c>
      <c r="AF25" s="108"/>
      <c r="AG25" s="107"/>
      <c r="AH25" s="53">
        <f>AH26+AG26</f>
        <v>99.99999999999997</v>
      </c>
      <c r="AI25" s="88">
        <f aca="true" t="shared" si="1" ref="AI25:AI44">AH25-U25</f>
        <v>0</v>
      </c>
      <c r="AJ25" s="108"/>
      <c r="AK25" s="107"/>
      <c r="AL25" s="53">
        <f>AL26+AK26</f>
        <v>100</v>
      </c>
      <c r="AM25" s="88">
        <f>AL25-R25</f>
        <v>0</v>
      </c>
      <c r="AN25" s="109"/>
    </row>
    <row r="26" spans="2:40" ht="12.75">
      <c r="B26" s="42"/>
      <c r="C26" s="210">
        <f aca="true" t="shared" si="2" ref="C26:C44">C25+1</f>
        <v>2</v>
      </c>
      <c r="D26" s="200">
        <v>0.742</v>
      </c>
      <c r="E26" s="200">
        <v>19050</v>
      </c>
      <c r="F26" s="89">
        <f aca="true" t="shared" si="3" ref="F26:F44">(E25*E26)^0.5</f>
        <v>21997.04525612474</v>
      </c>
      <c r="G26" s="136">
        <f aca="true" t="shared" si="4" ref="G26:G45">(H26/100)*$R$15</f>
        <v>0</v>
      </c>
      <c r="H26" s="139">
        <f aca="true" t="shared" si="5" ref="H26:H45">I25-I26</f>
        <v>0</v>
      </c>
      <c r="I26" s="203">
        <v>100</v>
      </c>
      <c r="J26" s="29">
        <f aca="true" t="shared" si="6" ref="J26:J45">(K26/100)*$R$15*$Z$50</f>
        <v>0</v>
      </c>
      <c r="K26" s="139">
        <f aca="true" t="shared" si="7" ref="K26:K45">L25-L26</f>
        <v>0</v>
      </c>
      <c r="L26" s="203">
        <v>100</v>
      </c>
      <c r="M26" s="29">
        <f aca="true" t="shared" si="8" ref="M26:M45">(N26/100)*$R$15*(1+$Z$50)</f>
        <v>0</v>
      </c>
      <c r="N26" s="139">
        <f aca="true" t="shared" si="9" ref="N26:N45">O25-O26</f>
        <v>0</v>
      </c>
      <c r="O26" s="144">
        <f aca="true" t="shared" si="10" ref="O26:O44">L26</f>
        <v>100</v>
      </c>
      <c r="P26" s="29">
        <f aca="true" t="shared" si="11" ref="P26:P45">(Q26/100)*$R$15*$Z$50</f>
        <v>0</v>
      </c>
      <c r="Q26" s="139">
        <f aca="true" t="shared" si="12" ref="Q26:Q45">R25-R26</f>
        <v>0</v>
      </c>
      <c r="R26" s="203">
        <v>100</v>
      </c>
      <c r="S26" s="29">
        <f aca="true" t="shared" si="13" ref="S26:S45">(T26/100)*$R$15</f>
        <v>0</v>
      </c>
      <c r="T26" s="139">
        <f aca="true" t="shared" si="14" ref="T26:T45">U25-U26</f>
        <v>0</v>
      </c>
      <c r="U26" s="203">
        <v>100</v>
      </c>
      <c r="V26" s="36"/>
      <c r="X26" s="105"/>
      <c r="Y26" s="95"/>
      <c r="Z26" s="51" t="str">
        <f>IF((O26-R26)&gt;5,(U26-O26)/(O26-R26)," ")</f>
        <v> </v>
      </c>
      <c r="AA26" s="90">
        <f aca="true" t="shared" si="15" ref="AA26:AA45">((1+$Z$50)*N26-$Z$50*Q26-T26)/((1+$Z$50)^2/2/$O$50+$Z$50^2/2/$R$50+1/2/$U$50)</f>
        <v>0</v>
      </c>
      <c r="AB26" s="28">
        <f aca="true" t="shared" si="16" ref="AB26:AB45">(AC26/100)*$R$15*(1+$Z$50)</f>
        <v>0</v>
      </c>
      <c r="AC26" s="29">
        <f aca="true" t="shared" si="17" ref="AC26:AC45">N26-AA26*(1+$Z$50)/2/$O$50</f>
        <v>0</v>
      </c>
      <c r="AD26" s="30">
        <f t="shared" si="0"/>
        <v>100</v>
      </c>
      <c r="AE26" s="88">
        <f aca="true" t="shared" si="18" ref="AE26:AE44">AD26-O26</f>
        <v>0</v>
      </c>
      <c r="AF26" s="28">
        <f aca="true" t="shared" si="19" ref="AF26:AF45">(AG26/100)*$R$15</f>
        <v>0</v>
      </c>
      <c r="AG26" s="29">
        <f>T26+AA26/2/$U$50</f>
        <v>0</v>
      </c>
      <c r="AH26" s="30">
        <f aca="true" t="shared" si="20" ref="AH26:AH42">AH27+AG27</f>
        <v>99.99999999999997</v>
      </c>
      <c r="AI26" s="88">
        <f t="shared" si="1"/>
        <v>0</v>
      </c>
      <c r="AJ26" s="28">
        <f aca="true" t="shared" si="21" ref="AJ26:AJ45">(AK26/100)*$Z$50*$R$15</f>
        <v>0</v>
      </c>
      <c r="AK26" s="29">
        <f aca="true" t="shared" si="22" ref="AK26:AK45">Q26+AA26*$Z$50/2/$R$50</f>
        <v>0</v>
      </c>
      <c r="AL26" s="30">
        <f aca="true" t="shared" si="23" ref="AL26:AL42">AL27+AK27</f>
        <v>100</v>
      </c>
      <c r="AM26" s="88">
        <f aca="true" t="shared" si="24" ref="AM26:AM44">AL26-R26</f>
        <v>0</v>
      </c>
      <c r="AN26" s="109"/>
    </row>
    <row r="27" spans="2:40" ht="12.75">
      <c r="B27" s="42"/>
      <c r="C27" s="210">
        <f t="shared" si="2"/>
        <v>3</v>
      </c>
      <c r="D27" s="200">
        <v>0.525</v>
      </c>
      <c r="E27" s="200">
        <v>12700</v>
      </c>
      <c r="F27" s="89">
        <f t="shared" si="3"/>
        <v>15554.259866673181</v>
      </c>
      <c r="G27" s="136">
        <f t="shared" si="4"/>
        <v>20</v>
      </c>
      <c r="H27" s="140">
        <f t="shared" si="5"/>
        <v>5</v>
      </c>
      <c r="I27" s="203">
        <v>95</v>
      </c>
      <c r="J27" s="29">
        <f t="shared" si="6"/>
        <v>13.692980678980442</v>
      </c>
      <c r="K27" s="140">
        <f t="shared" si="7"/>
        <v>1.1197647397068238</v>
      </c>
      <c r="L27" s="203">
        <v>98.88023526029318</v>
      </c>
      <c r="M27" s="29">
        <f t="shared" si="8"/>
        <v>18.172039637807735</v>
      </c>
      <c r="N27" s="140">
        <f t="shared" si="9"/>
        <v>1.1197647397068238</v>
      </c>
      <c r="O27" s="144">
        <f t="shared" si="10"/>
        <v>98.88023526029318</v>
      </c>
      <c r="P27" s="29">
        <f t="shared" si="11"/>
        <v>18.172039394067287</v>
      </c>
      <c r="Q27" s="140">
        <f t="shared" si="12"/>
        <v>1.4860467154003913</v>
      </c>
      <c r="R27" s="203">
        <v>98.51395328459961</v>
      </c>
      <c r="S27" s="29">
        <f t="shared" si="13"/>
        <v>0</v>
      </c>
      <c r="T27" s="140">
        <f t="shared" si="14"/>
        <v>0</v>
      </c>
      <c r="U27" s="203">
        <v>100</v>
      </c>
      <c r="V27" s="36"/>
      <c r="X27" s="105"/>
      <c r="Y27" s="95"/>
      <c r="Z27" s="52" t="str">
        <f aca="true" t="shared" si="25" ref="Z27:Z44">IF((O27-R27)&gt;5,(U27-O27)/(O27-R27)," ")</f>
        <v> </v>
      </c>
      <c r="AA27" s="90">
        <f t="shared" si="15"/>
        <v>4.546365317695312E-09</v>
      </c>
      <c r="AB27" s="28">
        <f t="shared" si="16"/>
        <v>18.172039488140026</v>
      </c>
      <c r="AC27" s="29">
        <f t="shared" si="17"/>
        <v>1.1197647304842693</v>
      </c>
      <c r="AD27" s="30">
        <f t="shared" si="0"/>
        <v>98.88023526951574</v>
      </c>
      <c r="AE27" s="88">
        <f t="shared" si="18"/>
        <v>9.222560493071796E-09</v>
      </c>
      <c r="AF27" s="28">
        <f t="shared" si="19"/>
        <v>9.092730635390624E-09</v>
      </c>
      <c r="AG27" s="29">
        <f aca="true" t="shared" si="26" ref="AG27:AG45">T27+AA27/2/$U$50</f>
        <v>2.273182658847656E-09</v>
      </c>
      <c r="AH27" s="30">
        <f t="shared" si="20"/>
        <v>99.99999999772679</v>
      </c>
      <c r="AI27" s="88">
        <f t="shared" si="1"/>
        <v>-2.273210952807858E-09</v>
      </c>
      <c r="AJ27" s="28">
        <f t="shared" si="21"/>
        <v>18.172039479047296</v>
      </c>
      <c r="AK27" s="29">
        <f t="shared" si="22"/>
        <v>1.486046722349763</v>
      </c>
      <c r="AL27" s="30">
        <f t="shared" si="23"/>
        <v>98.51395327765023</v>
      </c>
      <c r="AM27" s="88">
        <f t="shared" si="24"/>
        <v>-6.949377961973369E-09</v>
      </c>
      <c r="AN27" s="109"/>
    </row>
    <row r="28" spans="2:40" ht="12.75">
      <c r="B28" s="42"/>
      <c r="C28" s="210">
        <f t="shared" si="2"/>
        <v>4</v>
      </c>
      <c r="D28" s="200">
        <v>0.371</v>
      </c>
      <c r="E28" s="200">
        <v>9500</v>
      </c>
      <c r="F28" s="89">
        <f t="shared" si="3"/>
        <v>10984.079387914127</v>
      </c>
      <c r="G28" s="136">
        <f t="shared" si="4"/>
        <v>66.39999999999998</v>
      </c>
      <c r="H28" s="140">
        <f t="shared" si="5"/>
        <v>16.599999999999994</v>
      </c>
      <c r="I28" s="203">
        <v>78.4</v>
      </c>
      <c r="J28" s="29">
        <f t="shared" si="6"/>
        <v>31.26354963624964</v>
      </c>
      <c r="K28" s="140">
        <f t="shared" si="7"/>
        <v>2.5566252769556286</v>
      </c>
      <c r="L28" s="203">
        <v>96.32360998333755</v>
      </c>
      <c r="M28" s="29">
        <f t="shared" si="8"/>
        <v>41.49005074407215</v>
      </c>
      <c r="N28" s="140">
        <f t="shared" si="9"/>
        <v>2.5566252769556286</v>
      </c>
      <c r="O28" s="144">
        <f t="shared" si="10"/>
        <v>96.32360998333755</v>
      </c>
      <c r="P28" s="29">
        <f t="shared" si="11"/>
        <v>41.49005018756871</v>
      </c>
      <c r="Q28" s="140">
        <f t="shared" si="12"/>
        <v>3.3929132259730324</v>
      </c>
      <c r="R28" s="203">
        <v>95.12104005862658</v>
      </c>
      <c r="S28" s="29">
        <f t="shared" si="13"/>
        <v>0</v>
      </c>
      <c r="T28" s="140">
        <f t="shared" si="14"/>
        <v>0</v>
      </c>
      <c r="U28" s="203">
        <v>100</v>
      </c>
      <c r="V28" s="36"/>
      <c r="X28" s="105"/>
      <c r="Y28" s="95"/>
      <c r="Z28" s="52" t="str">
        <f t="shared" si="25"/>
        <v> </v>
      </c>
      <c r="AA28" s="90">
        <f t="shared" si="15"/>
        <v>1.0380172612394927E-08</v>
      </c>
      <c r="AB28" s="28">
        <f t="shared" si="16"/>
        <v>41.49005040235376</v>
      </c>
      <c r="AC28" s="29">
        <f t="shared" si="17"/>
        <v>2.5566252558988722</v>
      </c>
      <c r="AD28" s="30">
        <f t="shared" si="0"/>
        <v>96.32361001361686</v>
      </c>
      <c r="AE28" s="88">
        <f t="shared" si="18"/>
        <v>3.027930972621107E-08</v>
      </c>
      <c r="AF28" s="28">
        <f t="shared" si="19"/>
        <v>2.0760345224789855E-08</v>
      </c>
      <c r="AG28" s="29">
        <f t="shared" si="26"/>
        <v>5.190086306197464E-09</v>
      </c>
      <c r="AH28" s="30">
        <f t="shared" si="20"/>
        <v>99.9999999925367</v>
      </c>
      <c r="AI28" s="88">
        <f t="shared" si="1"/>
        <v>-7.463299311893934E-09</v>
      </c>
      <c r="AJ28" s="28">
        <f t="shared" si="21"/>
        <v>41.4900503815934</v>
      </c>
      <c r="AK28" s="29">
        <f t="shared" si="22"/>
        <v>3.3929132418397026</v>
      </c>
      <c r="AL28" s="30">
        <f t="shared" si="23"/>
        <v>95.12104003581052</v>
      </c>
      <c r="AM28" s="88">
        <f t="shared" si="24"/>
        <v>-2.281605304688128E-08</v>
      </c>
      <c r="AN28" s="109"/>
    </row>
    <row r="29" spans="2:40" ht="12.75">
      <c r="B29" s="42"/>
      <c r="C29" s="210">
        <f t="shared" si="2"/>
        <v>5</v>
      </c>
      <c r="D29" s="200">
        <v>3</v>
      </c>
      <c r="E29" s="200">
        <v>6700</v>
      </c>
      <c r="F29" s="89">
        <f t="shared" si="3"/>
        <v>7978.095010715278</v>
      </c>
      <c r="G29" s="136">
        <f t="shared" si="4"/>
        <v>56.28000000000003</v>
      </c>
      <c r="H29" s="140">
        <f t="shared" si="5"/>
        <v>14.070000000000007</v>
      </c>
      <c r="I29" s="203">
        <v>64.33</v>
      </c>
      <c r="J29" s="29">
        <f t="shared" si="6"/>
        <v>30.710749177422265</v>
      </c>
      <c r="K29" s="140">
        <f t="shared" si="7"/>
        <v>2.5114191617641524</v>
      </c>
      <c r="L29" s="203">
        <v>93.8121908215734</v>
      </c>
      <c r="M29" s="29">
        <f t="shared" si="8"/>
        <v>40.756425824478875</v>
      </c>
      <c r="N29" s="140">
        <f t="shared" si="9"/>
        <v>2.5114191617641524</v>
      </c>
      <c r="O29" s="144">
        <f t="shared" si="10"/>
        <v>93.8121908215734</v>
      </c>
      <c r="P29" s="29">
        <f t="shared" si="11"/>
        <v>40.756425277815396</v>
      </c>
      <c r="Q29" s="140">
        <f t="shared" si="12"/>
        <v>3.3329199107576386</v>
      </c>
      <c r="R29" s="203">
        <v>91.78812014786894</v>
      </c>
      <c r="S29" s="29">
        <f t="shared" si="13"/>
        <v>0</v>
      </c>
      <c r="T29" s="140">
        <f t="shared" si="14"/>
        <v>0</v>
      </c>
      <c r="U29" s="203">
        <v>100</v>
      </c>
      <c r="V29" s="36"/>
      <c r="X29" s="105"/>
      <c r="Y29" s="95"/>
      <c r="Z29" s="52" t="str">
        <f t="shared" si="25"/>
        <v> </v>
      </c>
      <c r="AA29" s="90">
        <f t="shared" si="15"/>
        <v>1.0196633061950111E-08</v>
      </c>
      <c r="AB29" s="28">
        <f t="shared" si="16"/>
        <v>40.75642548880265</v>
      </c>
      <c r="AC29" s="29">
        <f t="shared" si="17"/>
        <v>2.511419141079716</v>
      </c>
      <c r="AD29" s="30">
        <f t="shared" si="0"/>
        <v>93.81219087253714</v>
      </c>
      <c r="AE29" s="88">
        <f t="shared" si="18"/>
        <v>5.096374877666676E-08</v>
      </c>
      <c r="AF29" s="28">
        <f t="shared" si="19"/>
        <v>2.0393266123900222E-08</v>
      </c>
      <c r="AG29" s="29">
        <f t="shared" si="26"/>
        <v>5.0983165309750556E-09</v>
      </c>
      <c r="AH29" s="30">
        <f t="shared" si="20"/>
        <v>99.99999998743839</v>
      </c>
      <c r="AI29" s="88">
        <f t="shared" si="1"/>
        <v>-1.2561613971229235E-08</v>
      </c>
      <c r="AJ29" s="28">
        <f t="shared" si="21"/>
        <v>40.75642546840939</v>
      </c>
      <c r="AK29" s="29">
        <f t="shared" si="22"/>
        <v>3.3329199263437586</v>
      </c>
      <c r="AL29" s="30">
        <f t="shared" si="23"/>
        <v>91.78812010946676</v>
      </c>
      <c r="AM29" s="88">
        <f t="shared" si="24"/>
        <v>-3.840217743800167E-08</v>
      </c>
      <c r="AN29" s="109"/>
    </row>
    <row r="30" spans="2:40" ht="12.75">
      <c r="B30" s="42"/>
      <c r="C30" s="210">
        <f t="shared" si="2"/>
        <v>6</v>
      </c>
      <c r="D30" s="200">
        <v>4</v>
      </c>
      <c r="E30" s="200">
        <v>4750</v>
      </c>
      <c r="F30" s="89">
        <f t="shared" si="3"/>
        <v>5641.365083027334</v>
      </c>
      <c r="G30" s="136">
        <f t="shared" si="4"/>
        <v>41.31999999999999</v>
      </c>
      <c r="H30" s="140">
        <f t="shared" si="5"/>
        <v>10.329999999999998</v>
      </c>
      <c r="I30" s="203">
        <v>54</v>
      </c>
      <c r="J30" s="29">
        <f t="shared" si="6"/>
        <v>27.884783394933315</v>
      </c>
      <c r="K30" s="140">
        <f t="shared" si="7"/>
        <v>2.280321425410321</v>
      </c>
      <c r="L30" s="203">
        <v>91.53186939616307</v>
      </c>
      <c r="M30" s="29">
        <f t="shared" si="8"/>
        <v>37.0060690965746</v>
      </c>
      <c r="N30" s="140">
        <f t="shared" si="9"/>
        <v>2.280321425410321</v>
      </c>
      <c r="O30" s="144">
        <f t="shared" si="10"/>
        <v>91.53186939616307</v>
      </c>
      <c r="P30" s="29">
        <f t="shared" si="11"/>
        <v>37.006068600214455</v>
      </c>
      <c r="Q30" s="140">
        <f t="shared" si="12"/>
        <v>3.0262286747619527</v>
      </c>
      <c r="R30" s="203">
        <v>88.76189147310699</v>
      </c>
      <c r="S30" s="29">
        <f t="shared" si="13"/>
        <v>0</v>
      </c>
      <c r="T30" s="140">
        <f t="shared" si="14"/>
        <v>0</v>
      </c>
      <c r="U30" s="203">
        <v>100</v>
      </c>
      <c r="V30" s="36"/>
      <c r="X30" s="105"/>
      <c r="Y30" s="95"/>
      <c r="Z30" s="52" t="str">
        <f t="shared" si="25"/>
        <v> </v>
      </c>
      <c r="AA30" s="90">
        <f t="shared" si="15"/>
        <v>9.258350676865519E-09</v>
      </c>
      <c r="AB30" s="28">
        <f t="shared" si="16"/>
        <v>37.006068791786916</v>
      </c>
      <c r="AC30" s="29">
        <f t="shared" si="17"/>
        <v>2.2803214066292425</v>
      </c>
      <c r="AD30" s="30">
        <f t="shared" si="0"/>
        <v>91.5318694659079</v>
      </c>
      <c r="AE30" s="88">
        <f t="shared" si="18"/>
        <v>6.974482857913245E-08</v>
      </c>
      <c r="AF30" s="28">
        <f t="shared" si="19"/>
        <v>1.8516701353731037E-08</v>
      </c>
      <c r="AG30" s="29">
        <f t="shared" si="26"/>
        <v>4.629175338432759E-09</v>
      </c>
      <c r="AH30" s="30">
        <f t="shared" si="20"/>
        <v>99.99999998280921</v>
      </c>
      <c r="AI30" s="88">
        <f t="shared" si="1"/>
        <v>-1.7190785683851573E-08</v>
      </c>
      <c r="AJ30" s="28">
        <f t="shared" si="21"/>
        <v>37.006068773270215</v>
      </c>
      <c r="AK30" s="29">
        <f t="shared" si="22"/>
        <v>3.026228688913856</v>
      </c>
      <c r="AL30" s="30">
        <f t="shared" si="23"/>
        <v>88.7618914205529</v>
      </c>
      <c r="AM30" s="88">
        <f t="shared" si="24"/>
        <v>-5.255408552784502E-08</v>
      </c>
      <c r="AN30" s="109"/>
    </row>
    <row r="31" spans="2:40" ht="12.75">
      <c r="B31" s="42"/>
      <c r="C31" s="210">
        <f t="shared" si="2"/>
        <v>7</v>
      </c>
      <c r="D31" s="200">
        <v>6</v>
      </c>
      <c r="E31" s="200">
        <v>3350</v>
      </c>
      <c r="F31" s="89">
        <f t="shared" si="3"/>
        <v>3989.047505357639</v>
      </c>
      <c r="G31" s="136">
        <f t="shared" si="4"/>
        <v>33.360000000000014</v>
      </c>
      <c r="H31" s="140">
        <f t="shared" si="5"/>
        <v>8.340000000000003</v>
      </c>
      <c r="I31" s="203">
        <v>45.66</v>
      </c>
      <c r="J31" s="29">
        <f t="shared" si="6"/>
        <v>29.034596557011874</v>
      </c>
      <c r="K31" s="140">
        <f t="shared" si="7"/>
        <v>2.374349180676404</v>
      </c>
      <c r="L31" s="203">
        <v>89.15752021548667</v>
      </c>
      <c r="M31" s="29">
        <f t="shared" si="8"/>
        <v>38.53199327971749</v>
      </c>
      <c r="N31" s="140">
        <f t="shared" si="9"/>
        <v>2.374349180676404</v>
      </c>
      <c r="O31" s="144">
        <f t="shared" si="10"/>
        <v>89.15752021548667</v>
      </c>
      <c r="P31" s="29">
        <f t="shared" si="11"/>
        <v>38.53199276289013</v>
      </c>
      <c r="Q31" s="140">
        <f t="shared" si="12"/>
        <v>3.151013490638732</v>
      </c>
      <c r="R31" s="203">
        <v>85.61087798246825</v>
      </c>
      <c r="S31" s="29">
        <f t="shared" si="13"/>
        <v>0</v>
      </c>
      <c r="T31" s="140">
        <f t="shared" si="14"/>
        <v>0</v>
      </c>
      <c r="U31" s="203">
        <v>100</v>
      </c>
      <c r="V31" s="36"/>
      <c r="X31" s="105"/>
      <c r="Y31" s="95"/>
      <c r="Z31" s="52" t="str">
        <f t="shared" si="25"/>
        <v> </v>
      </c>
      <c r="AA31" s="90">
        <f t="shared" si="15"/>
        <v>9.640115194866778E-09</v>
      </c>
      <c r="AB31" s="28">
        <f t="shared" si="16"/>
        <v>38.531992962362004</v>
      </c>
      <c r="AC31" s="29">
        <f t="shared" si="17"/>
        <v>2.3743491611208953</v>
      </c>
      <c r="AD31" s="30">
        <f t="shared" si="0"/>
        <v>89.15752030478701</v>
      </c>
      <c r="AE31" s="88">
        <f t="shared" si="18"/>
        <v>8.930034312015778E-08</v>
      </c>
      <c r="AF31" s="28">
        <f t="shared" si="19"/>
        <v>1.9280230389733556E-08</v>
      </c>
      <c r="AG31" s="29">
        <f t="shared" si="26"/>
        <v>4.820057597433389E-09</v>
      </c>
      <c r="AH31" s="30">
        <f t="shared" si="20"/>
        <v>99.99999997798916</v>
      </c>
      <c r="AI31" s="88">
        <f t="shared" si="1"/>
        <v>-2.2010837597008504E-08</v>
      </c>
      <c r="AJ31" s="28">
        <f t="shared" si="21"/>
        <v>38.531992943081775</v>
      </c>
      <c r="AK31" s="29">
        <f t="shared" si="22"/>
        <v>3.1510135053741837</v>
      </c>
      <c r="AL31" s="30">
        <f t="shared" si="23"/>
        <v>85.61087791517872</v>
      </c>
      <c r="AM31" s="88">
        <f t="shared" si="24"/>
        <v>-6.72895339448587E-08</v>
      </c>
      <c r="AN31" s="109"/>
    </row>
    <row r="32" spans="2:40" ht="12.75">
      <c r="B32" s="42"/>
      <c r="C32" s="210">
        <f t="shared" si="2"/>
        <v>8</v>
      </c>
      <c r="D32" s="200">
        <v>8</v>
      </c>
      <c r="E32" s="200">
        <v>2360</v>
      </c>
      <c r="F32" s="89">
        <f t="shared" si="3"/>
        <v>2811.761014026619</v>
      </c>
      <c r="G32" s="136">
        <f t="shared" si="4"/>
        <v>27.359999999999985</v>
      </c>
      <c r="H32" s="140">
        <f t="shared" si="5"/>
        <v>6.839999999999996</v>
      </c>
      <c r="I32" s="203">
        <v>38.82</v>
      </c>
      <c r="J32" s="29">
        <f t="shared" si="6"/>
        <v>33.25679795249835</v>
      </c>
      <c r="K32" s="140">
        <f t="shared" si="7"/>
        <v>2.719626250545076</v>
      </c>
      <c r="L32" s="203">
        <v>86.4378939649416</v>
      </c>
      <c r="M32" s="29">
        <f t="shared" si="8"/>
        <v>44.13530295467866</v>
      </c>
      <c r="N32" s="140">
        <f t="shared" si="9"/>
        <v>2.719626250545076</v>
      </c>
      <c r="O32" s="144">
        <f t="shared" si="10"/>
        <v>86.4378939649416</v>
      </c>
      <c r="P32" s="29">
        <f t="shared" si="11"/>
        <v>44.13530236269436</v>
      </c>
      <c r="Q32" s="140">
        <f t="shared" si="12"/>
        <v>3.609232826707256</v>
      </c>
      <c r="R32" s="203">
        <v>82.001645155761</v>
      </c>
      <c r="S32" s="29">
        <f t="shared" si="13"/>
        <v>0</v>
      </c>
      <c r="T32" s="140">
        <f t="shared" si="14"/>
        <v>0</v>
      </c>
      <c r="U32" s="203">
        <v>100</v>
      </c>
      <c r="V32" s="36"/>
      <c r="X32" s="105"/>
      <c r="Y32" s="95"/>
      <c r="Z32" s="52" t="str">
        <f t="shared" si="25"/>
        <v> </v>
      </c>
      <c r="AA32" s="90">
        <f t="shared" si="15"/>
        <v>1.1041978843490012E-08</v>
      </c>
      <c r="AB32" s="28">
        <f t="shared" si="16"/>
        <v>44.1353025911734</v>
      </c>
      <c r="AC32" s="29">
        <f t="shared" si="17"/>
        <v>2.719626228145809</v>
      </c>
      <c r="AD32" s="30">
        <f t="shared" si="0"/>
        <v>86.4378940766412</v>
      </c>
      <c r="AE32" s="88">
        <f t="shared" si="18"/>
        <v>1.116996060090969E-07</v>
      </c>
      <c r="AF32" s="28">
        <f t="shared" si="19"/>
        <v>2.2083957686980024E-08</v>
      </c>
      <c r="AG32" s="29">
        <f t="shared" si="26"/>
        <v>5.520989421745006E-09</v>
      </c>
      <c r="AH32" s="30">
        <f t="shared" si="20"/>
        <v>99.99999997246817</v>
      </c>
      <c r="AI32" s="88">
        <f t="shared" si="1"/>
        <v>-2.7531825708138058E-08</v>
      </c>
      <c r="AJ32" s="28">
        <f t="shared" si="21"/>
        <v>44.13530256908944</v>
      </c>
      <c r="AK32" s="29">
        <f t="shared" si="22"/>
        <v>3.609232843585534</v>
      </c>
      <c r="AL32" s="30">
        <f t="shared" si="23"/>
        <v>82.00164507159319</v>
      </c>
      <c r="AM32" s="88">
        <f t="shared" si="24"/>
        <v>-8.416780872266827E-08</v>
      </c>
      <c r="AN32" s="109"/>
    </row>
    <row r="33" spans="2:40" ht="12.75">
      <c r="B33" s="42"/>
      <c r="C33" s="210">
        <f t="shared" si="2"/>
        <v>9</v>
      </c>
      <c r="D33" s="200">
        <v>10</v>
      </c>
      <c r="E33" s="200">
        <v>1700</v>
      </c>
      <c r="F33" s="89">
        <f t="shared" si="3"/>
        <v>2002.9977533686852</v>
      </c>
      <c r="G33" s="136">
        <f t="shared" si="4"/>
        <v>21.640000000000015</v>
      </c>
      <c r="H33" s="140">
        <f t="shared" si="5"/>
        <v>5.410000000000004</v>
      </c>
      <c r="I33" s="203">
        <v>33.41</v>
      </c>
      <c r="J33" s="29">
        <f t="shared" si="6"/>
        <v>38.58631751271939</v>
      </c>
      <c r="K33" s="140">
        <f t="shared" si="7"/>
        <v>3.155455981340964</v>
      </c>
      <c r="L33" s="203">
        <v>83.28243798360063</v>
      </c>
      <c r="M33" s="29">
        <f t="shared" si="8"/>
        <v>51.208141438083246</v>
      </c>
      <c r="N33" s="140">
        <f t="shared" si="9"/>
        <v>3.155455981340964</v>
      </c>
      <c r="O33" s="144">
        <f t="shared" si="10"/>
        <v>83.28243798360063</v>
      </c>
      <c r="P33" s="29">
        <f t="shared" si="11"/>
        <v>51.20814075123157</v>
      </c>
      <c r="Q33" s="140">
        <f t="shared" si="12"/>
        <v>4.187625159450874</v>
      </c>
      <c r="R33" s="203">
        <v>77.81401999631012</v>
      </c>
      <c r="S33" s="29">
        <f t="shared" si="13"/>
        <v>0</v>
      </c>
      <c r="T33" s="140">
        <f t="shared" si="14"/>
        <v>0</v>
      </c>
      <c r="U33" s="203">
        <v>100</v>
      </c>
      <c r="V33" s="36"/>
      <c r="X33" s="105"/>
      <c r="Y33" s="95"/>
      <c r="Z33" s="52">
        <f t="shared" si="25"/>
        <v>3.0571112258158943</v>
      </c>
      <c r="AA33" s="90">
        <f t="shared" si="15"/>
        <v>1.2811491356173878E-08</v>
      </c>
      <c r="AB33" s="28">
        <f t="shared" si="16"/>
        <v>51.208141016325094</v>
      </c>
      <c r="AC33" s="29">
        <f t="shared" si="17"/>
        <v>3.155455955352142</v>
      </c>
      <c r="AD33" s="30">
        <f t="shared" si="0"/>
        <v>83.28243812128906</v>
      </c>
      <c r="AE33" s="88">
        <f t="shared" si="18"/>
        <v>1.3768843132311304E-07</v>
      </c>
      <c r="AF33" s="28">
        <f t="shared" si="19"/>
        <v>2.5622982712347752E-08</v>
      </c>
      <c r="AG33" s="29">
        <f t="shared" si="26"/>
        <v>6.405745678086939E-09</v>
      </c>
      <c r="AH33" s="30">
        <f t="shared" si="20"/>
        <v>99.99999996606243</v>
      </c>
      <c r="AI33" s="88">
        <f t="shared" si="1"/>
        <v>-3.3937567422981374E-08</v>
      </c>
      <c r="AJ33" s="28">
        <f t="shared" si="21"/>
        <v>51.20814099070211</v>
      </c>
      <c r="AK33" s="29">
        <f t="shared" si="22"/>
        <v>4.18762517903395</v>
      </c>
      <c r="AL33" s="30">
        <f t="shared" si="23"/>
        <v>77.81401989255924</v>
      </c>
      <c r="AM33" s="88">
        <f t="shared" si="24"/>
        <v>-1.0375087811098638E-07</v>
      </c>
      <c r="AN33" s="109"/>
    </row>
    <row r="34" spans="2:40" ht="12.75">
      <c r="B34" s="42"/>
      <c r="C34" s="210">
        <f t="shared" si="2"/>
        <v>10</v>
      </c>
      <c r="D34" s="200">
        <v>14</v>
      </c>
      <c r="E34" s="200">
        <v>1180</v>
      </c>
      <c r="F34" s="89">
        <f t="shared" si="3"/>
        <v>1416.333294108417</v>
      </c>
      <c r="G34" s="136">
        <f t="shared" si="4"/>
        <v>20.39999999999999</v>
      </c>
      <c r="H34" s="140">
        <f t="shared" si="5"/>
        <v>5.099999999999998</v>
      </c>
      <c r="I34" s="203">
        <v>28.31</v>
      </c>
      <c r="J34" s="29">
        <f t="shared" si="6"/>
        <v>50.467856000869745</v>
      </c>
      <c r="K34" s="140">
        <f t="shared" si="7"/>
        <v>4.127087225436966</v>
      </c>
      <c r="L34" s="203">
        <v>79.15535075816366</v>
      </c>
      <c r="M34" s="29">
        <f t="shared" si="8"/>
        <v>66.97620490261761</v>
      </c>
      <c r="N34" s="140">
        <f t="shared" si="9"/>
        <v>4.127087225436966</v>
      </c>
      <c r="O34" s="144">
        <f t="shared" si="10"/>
        <v>79.15535075816366</v>
      </c>
      <c r="P34" s="29">
        <f t="shared" si="11"/>
        <v>66.97620386507776</v>
      </c>
      <c r="Q34" s="140">
        <f t="shared" si="12"/>
        <v>5.477082984762831</v>
      </c>
      <c r="R34" s="203">
        <v>72.33693701154729</v>
      </c>
      <c r="S34" s="29">
        <f t="shared" si="13"/>
        <v>1.3919196817369084E-07</v>
      </c>
      <c r="T34" s="140">
        <f t="shared" si="14"/>
        <v>3.479799204342271E-08</v>
      </c>
      <c r="U34" s="203">
        <v>99.99999996520201</v>
      </c>
      <c r="V34" s="36"/>
      <c r="X34" s="105"/>
      <c r="Y34" s="95"/>
      <c r="Z34" s="52">
        <f t="shared" si="25"/>
        <v>3.057111225815898</v>
      </c>
      <c r="AA34" s="90">
        <f t="shared" si="15"/>
        <v>1.6756421284000227E-08</v>
      </c>
      <c r="AB34" s="28">
        <f t="shared" si="16"/>
        <v>66.9762043509912</v>
      </c>
      <c r="AC34" s="29">
        <f t="shared" si="17"/>
        <v>4.127087191445636</v>
      </c>
      <c r="AD34" s="30">
        <f t="shared" si="0"/>
        <v>79.15535092984342</v>
      </c>
      <c r="AE34" s="88">
        <f t="shared" si="18"/>
        <v>1.7167975840948202E-07</v>
      </c>
      <c r="AF34" s="28">
        <f t="shared" si="19"/>
        <v>1.727048107416913E-07</v>
      </c>
      <c r="AG34" s="29">
        <f t="shared" si="26"/>
        <v>4.317620268542283E-08</v>
      </c>
      <c r="AH34" s="30">
        <f t="shared" si="20"/>
        <v>99.99999992288623</v>
      </c>
      <c r="AI34" s="88">
        <f t="shared" si="1"/>
        <v>-4.231577577229473E-08</v>
      </c>
      <c r="AJ34" s="28">
        <f t="shared" si="21"/>
        <v>66.97620417828638</v>
      </c>
      <c r="AK34" s="29">
        <f t="shared" si="22"/>
        <v>5.477083010375951</v>
      </c>
      <c r="AL34" s="30">
        <f t="shared" si="23"/>
        <v>72.3369368821833</v>
      </c>
      <c r="AM34" s="88">
        <f t="shared" si="24"/>
        <v>-1.29363996848042E-07</v>
      </c>
      <c r="AN34" s="109"/>
    </row>
    <row r="35" spans="2:40" ht="12.75">
      <c r="B35" s="42"/>
      <c r="C35" s="210">
        <f t="shared" si="2"/>
        <v>11</v>
      </c>
      <c r="D35" s="200">
        <v>20</v>
      </c>
      <c r="E35" s="200">
        <v>850</v>
      </c>
      <c r="F35" s="89">
        <f t="shared" si="3"/>
        <v>1001.4988766843426</v>
      </c>
      <c r="G35" s="136">
        <f t="shared" si="4"/>
        <v>15.599999999999994</v>
      </c>
      <c r="H35" s="140">
        <f t="shared" si="5"/>
        <v>3.8999999999999986</v>
      </c>
      <c r="I35" s="203">
        <v>24.41</v>
      </c>
      <c r="J35" s="29">
        <f t="shared" si="6"/>
        <v>59.398782054693626</v>
      </c>
      <c r="K35" s="140">
        <f t="shared" si="7"/>
        <v>4.857427559835628</v>
      </c>
      <c r="L35" s="203">
        <v>74.29792319832804</v>
      </c>
      <c r="M35" s="29">
        <f t="shared" si="8"/>
        <v>78.82849229403614</v>
      </c>
      <c r="N35" s="140">
        <f t="shared" si="9"/>
        <v>4.857427559835628</v>
      </c>
      <c r="O35" s="144">
        <f t="shared" si="10"/>
        <v>74.29792319832804</v>
      </c>
      <c r="P35" s="29">
        <f t="shared" si="11"/>
        <v>78.8277775073926</v>
      </c>
      <c r="Q35" s="140">
        <f t="shared" si="12"/>
        <v>6.446263807100124</v>
      </c>
      <c r="R35" s="203">
        <v>65.89067320444717</v>
      </c>
      <c r="S35" s="29">
        <f t="shared" si="13"/>
        <v>0.0007137293606547246</v>
      </c>
      <c r="T35" s="140">
        <f t="shared" si="14"/>
        <v>0.00017843234016368115</v>
      </c>
      <c r="U35" s="203">
        <v>99.99982153286184</v>
      </c>
      <c r="V35" s="36"/>
      <c r="X35" s="105"/>
      <c r="Y35" s="95"/>
      <c r="Z35" s="52">
        <f t="shared" si="25"/>
        <v>3.0571112258158943</v>
      </c>
      <c r="AA35" s="90">
        <f t="shared" si="15"/>
        <v>1.9720954329354144E-08</v>
      </c>
      <c r="AB35" s="28">
        <f t="shared" si="16"/>
        <v>78.82849164481641</v>
      </c>
      <c r="AC35" s="29">
        <f t="shared" si="17"/>
        <v>4.857427519830577</v>
      </c>
      <c r="AD35" s="30">
        <f t="shared" si="0"/>
        <v>74.29792341001284</v>
      </c>
      <c r="AE35" s="88">
        <f t="shared" si="18"/>
        <v>2.1168480657252076E-07</v>
      </c>
      <c r="AF35" s="28">
        <f t="shared" si="19"/>
        <v>0.0007137688025633833</v>
      </c>
      <c r="AG35" s="29">
        <f t="shared" si="26"/>
        <v>0.00017844220064084583</v>
      </c>
      <c r="AH35" s="30">
        <f t="shared" si="20"/>
        <v>99.9998214806856</v>
      </c>
      <c r="AI35" s="88">
        <f t="shared" si="1"/>
        <v>-5.217624732267723E-08</v>
      </c>
      <c r="AJ35" s="28">
        <f t="shared" si="21"/>
        <v>78.82777787601385</v>
      </c>
      <c r="AK35" s="29">
        <f t="shared" si="22"/>
        <v>6.446263837244698</v>
      </c>
      <c r="AL35" s="30">
        <f t="shared" si="23"/>
        <v>65.8906730449386</v>
      </c>
      <c r="AM35" s="88">
        <f t="shared" si="24"/>
        <v>-1.5950857346069824E-07</v>
      </c>
      <c r="AN35" s="109"/>
    </row>
    <row r="36" spans="2:40" ht="12.75">
      <c r="B36" s="42"/>
      <c r="C36" s="210">
        <f t="shared" si="2"/>
        <v>12</v>
      </c>
      <c r="D36" s="200">
        <v>28</v>
      </c>
      <c r="E36" s="200">
        <v>600</v>
      </c>
      <c r="F36" s="89">
        <f t="shared" si="3"/>
        <v>714.142842854285</v>
      </c>
      <c r="G36" s="136">
        <f t="shared" si="4"/>
        <v>14.159999999999998</v>
      </c>
      <c r="H36" s="140">
        <f t="shared" si="5"/>
        <v>3.539999999999999</v>
      </c>
      <c r="I36" s="203">
        <v>20.87</v>
      </c>
      <c r="J36" s="29">
        <f t="shared" si="6"/>
        <v>75.80825791483623</v>
      </c>
      <c r="K36" s="140">
        <f t="shared" si="7"/>
        <v>6.1993379076289585</v>
      </c>
      <c r="L36" s="203">
        <v>68.09858529069908</v>
      </c>
      <c r="M36" s="29">
        <f t="shared" si="8"/>
        <v>100.60560954535207</v>
      </c>
      <c r="N36" s="140">
        <f t="shared" si="9"/>
        <v>6.1993379076289585</v>
      </c>
      <c r="O36" s="144">
        <f t="shared" si="10"/>
        <v>68.09858529069908</v>
      </c>
      <c r="P36" s="29">
        <f t="shared" si="11"/>
        <v>100.50580918425891</v>
      </c>
      <c r="Q36" s="140">
        <f t="shared" si="12"/>
        <v>8.219018480979493</v>
      </c>
      <c r="R36" s="203">
        <v>57.671654723467675</v>
      </c>
      <c r="S36" s="29">
        <f t="shared" si="13"/>
        <v>0.09979901710710237</v>
      </c>
      <c r="T36" s="140">
        <f t="shared" si="14"/>
        <v>0.024949754276775593</v>
      </c>
      <c r="U36" s="203">
        <v>99.97487177858507</v>
      </c>
      <c r="V36" s="36"/>
      <c r="X36" s="105"/>
      <c r="Y36" s="95"/>
      <c r="Z36" s="52">
        <f t="shared" si="25"/>
        <v>3.0571112258158926</v>
      </c>
      <c r="AA36" s="90">
        <f t="shared" si="15"/>
        <v>2.5068681209420894E-08</v>
      </c>
      <c r="AB36" s="28">
        <f t="shared" si="16"/>
        <v>100.60560872008355</v>
      </c>
      <c r="AC36" s="29">
        <f t="shared" si="17"/>
        <v>6.199337856775746</v>
      </c>
      <c r="AD36" s="30">
        <f t="shared" si="0"/>
        <v>68.0985855532371</v>
      </c>
      <c r="AE36" s="88">
        <f t="shared" si="18"/>
        <v>2.625380233212127E-07</v>
      </c>
      <c r="AF36" s="28">
        <f t="shared" si="19"/>
        <v>0.0997990672444648</v>
      </c>
      <c r="AG36" s="29">
        <f t="shared" si="26"/>
        <v>0.024949766811116197</v>
      </c>
      <c r="AH36" s="30">
        <f t="shared" si="20"/>
        <v>99.97487171387448</v>
      </c>
      <c r="AI36" s="88">
        <f t="shared" si="1"/>
        <v>-6.471059066370799E-08</v>
      </c>
      <c r="AJ36" s="28">
        <f t="shared" si="21"/>
        <v>100.50580965283909</v>
      </c>
      <c r="AK36" s="29">
        <f t="shared" si="22"/>
        <v>8.219018519298364</v>
      </c>
      <c r="AL36" s="30">
        <f t="shared" si="23"/>
        <v>57.671654525640236</v>
      </c>
      <c r="AM36" s="88">
        <f t="shared" si="24"/>
        <v>-1.9782743976293204E-07</v>
      </c>
      <c r="AN36" s="109"/>
    </row>
    <row r="37" spans="2:40" ht="12.75">
      <c r="B37" s="42"/>
      <c r="C37" s="210">
        <f t="shared" si="2"/>
        <v>13</v>
      </c>
      <c r="D37" s="200">
        <v>35</v>
      </c>
      <c r="E37" s="200">
        <v>425</v>
      </c>
      <c r="F37" s="89">
        <f t="shared" si="3"/>
        <v>504.9752469181039</v>
      </c>
      <c r="G37" s="136">
        <f t="shared" si="4"/>
        <v>12.040000000000006</v>
      </c>
      <c r="H37" s="140">
        <f t="shared" si="5"/>
        <v>3.0100000000000016</v>
      </c>
      <c r="I37" s="203">
        <v>17.86</v>
      </c>
      <c r="J37" s="29">
        <f t="shared" si="6"/>
        <v>92.57801565870707</v>
      </c>
      <c r="K37" s="140">
        <f t="shared" si="7"/>
        <v>7.5707108654421305</v>
      </c>
      <c r="L37" s="203">
        <v>60.52787442525695</v>
      </c>
      <c r="M37" s="29">
        <f t="shared" si="8"/>
        <v>122.8608591204756</v>
      </c>
      <c r="N37" s="140">
        <f t="shared" si="9"/>
        <v>7.5707108654421305</v>
      </c>
      <c r="O37" s="144">
        <f t="shared" si="10"/>
        <v>60.52787442525695</v>
      </c>
      <c r="P37" s="29">
        <f t="shared" si="11"/>
        <v>120.91946811636123</v>
      </c>
      <c r="Q37" s="140">
        <f t="shared" si="12"/>
        <v>9.888377111979288</v>
      </c>
      <c r="R37" s="203">
        <v>47.78327761148839</v>
      </c>
      <c r="S37" s="29">
        <f t="shared" si="13"/>
        <v>1.9413894618353993</v>
      </c>
      <c r="T37" s="140">
        <f t="shared" si="14"/>
        <v>0.4853473654588498</v>
      </c>
      <c r="U37" s="203">
        <v>99.48952441312622</v>
      </c>
      <c r="V37" s="36"/>
      <c r="X37" s="105"/>
      <c r="Y37" s="95"/>
      <c r="Z37" s="52">
        <f t="shared" si="25"/>
        <v>3.057111225815889</v>
      </c>
      <c r="AA37" s="90">
        <f t="shared" si="15"/>
        <v>2.8767336937472928E-08</v>
      </c>
      <c r="AB37" s="28">
        <f t="shared" si="16"/>
        <v>122.86085817344622</v>
      </c>
      <c r="AC37" s="29">
        <f t="shared" si="17"/>
        <v>7.57071080708599</v>
      </c>
      <c r="AD37" s="30">
        <f t="shared" si="0"/>
        <v>60.527874746151106</v>
      </c>
      <c r="AE37" s="88">
        <f t="shared" si="18"/>
        <v>3.208941592447445E-07</v>
      </c>
      <c r="AF37" s="28">
        <f t="shared" si="19"/>
        <v>1.9413895193700732</v>
      </c>
      <c r="AG37" s="29">
        <f t="shared" si="26"/>
        <v>0.4853473798425183</v>
      </c>
      <c r="AH37" s="30">
        <f t="shared" si="20"/>
        <v>99.48952433403196</v>
      </c>
      <c r="AI37" s="88">
        <f t="shared" si="1"/>
        <v>-7.909426358310157E-08</v>
      </c>
      <c r="AJ37" s="28">
        <f t="shared" si="21"/>
        <v>120.91946865407617</v>
      </c>
      <c r="AK37" s="29">
        <f t="shared" si="22"/>
        <v>9.88837715595176</v>
      </c>
      <c r="AL37" s="30">
        <f t="shared" si="23"/>
        <v>47.78327736968848</v>
      </c>
      <c r="AM37" s="88">
        <f t="shared" si="24"/>
        <v>-2.4179990987249766E-07</v>
      </c>
      <c r="AN37" s="109"/>
    </row>
    <row r="38" spans="2:40" ht="12.75">
      <c r="B38" s="42"/>
      <c r="C38" s="210">
        <f t="shared" si="2"/>
        <v>14</v>
      </c>
      <c r="D38" s="200">
        <v>48</v>
      </c>
      <c r="E38" s="200">
        <v>300</v>
      </c>
      <c r="F38" s="89">
        <f t="shared" si="3"/>
        <v>357.0714214271425</v>
      </c>
      <c r="G38" s="136">
        <f t="shared" si="4"/>
        <v>10.36</v>
      </c>
      <c r="H38" s="140">
        <f t="shared" si="5"/>
        <v>2.59</v>
      </c>
      <c r="I38" s="203">
        <v>15.27</v>
      </c>
      <c r="J38" s="29">
        <f t="shared" si="6"/>
        <v>107.0792912787089</v>
      </c>
      <c r="K38" s="140">
        <f t="shared" si="7"/>
        <v>8.756575178021976</v>
      </c>
      <c r="L38" s="203">
        <v>51.77129924723497</v>
      </c>
      <c r="M38" s="29">
        <f t="shared" si="8"/>
        <v>142.1055919907968</v>
      </c>
      <c r="N38" s="140">
        <f t="shared" si="9"/>
        <v>8.756575178021976</v>
      </c>
      <c r="O38" s="144">
        <f t="shared" si="10"/>
        <v>51.77129924723497</v>
      </c>
      <c r="P38" s="29">
        <f t="shared" si="11"/>
        <v>131.2011232156257</v>
      </c>
      <c r="Q38" s="140">
        <f t="shared" si="12"/>
        <v>10.729175409727304</v>
      </c>
      <c r="R38" s="203">
        <v>37.05410220176108</v>
      </c>
      <c r="S38" s="29">
        <f t="shared" si="13"/>
        <v>10.90446746251439</v>
      </c>
      <c r="T38" s="140">
        <f t="shared" si="14"/>
        <v>2.7261168656285975</v>
      </c>
      <c r="U38" s="203">
        <v>96.76340754749762</v>
      </c>
      <c r="V38" s="36"/>
      <c r="X38" s="105"/>
      <c r="Y38" s="95"/>
      <c r="Z38" s="52">
        <f t="shared" si="25"/>
        <v>3.0571112258158886</v>
      </c>
      <c r="AA38" s="90">
        <f t="shared" si="15"/>
        <v>2.4484310948833115E-08</v>
      </c>
      <c r="AB38" s="28">
        <f t="shared" si="16"/>
        <v>142.10559118476593</v>
      </c>
      <c r="AC38" s="29">
        <f t="shared" si="17"/>
        <v>8.756575128354191</v>
      </c>
      <c r="AD38" s="30">
        <f t="shared" si="0"/>
        <v>51.77129961779691</v>
      </c>
      <c r="AE38" s="88">
        <f t="shared" si="18"/>
        <v>3.7056194202023107E-07</v>
      </c>
      <c r="AF38" s="28">
        <f t="shared" si="19"/>
        <v>10.904467511483011</v>
      </c>
      <c r="AG38" s="29">
        <f t="shared" si="26"/>
        <v>2.7261168778707527</v>
      </c>
      <c r="AH38" s="30">
        <f t="shared" si="20"/>
        <v>96.7634074561612</v>
      </c>
      <c r="AI38" s="88">
        <f t="shared" si="1"/>
        <v>-9.133641754033306E-08</v>
      </c>
      <c r="AJ38" s="28">
        <f t="shared" si="21"/>
        <v>131.20112367328292</v>
      </c>
      <c r="AK38" s="29">
        <f t="shared" si="22"/>
        <v>10.729175447152933</v>
      </c>
      <c r="AL38" s="30">
        <f t="shared" si="23"/>
        <v>37.054101922535544</v>
      </c>
      <c r="AM38" s="88">
        <f t="shared" si="24"/>
        <v>-2.7922553869075273E-07</v>
      </c>
      <c r="AN38" s="109"/>
    </row>
    <row r="39" spans="2:40" ht="12.75">
      <c r="B39" s="42"/>
      <c r="C39" s="210">
        <f t="shared" si="2"/>
        <v>15</v>
      </c>
      <c r="D39" s="200">
        <v>65</v>
      </c>
      <c r="E39" s="200">
        <v>212</v>
      </c>
      <c r="F39" s="89">
        <f t="shared" si="3"/>
        <v>252.19040425836982</v>
      </c>
      <c r="G39" s="136">
        <f t="shared" si="4"/>
        <v>8.839999999999996</v>
      </c>
      <c r="H39" s="140">
        <f t="shared" si="5"/>
        <v>2.209999999999999</v>
      </c>
      <c r="I39" s="203">
        <v>13.06</v>
      </c>
      <c r="J39" s="29">
        <f t="shared" si="6"/>
        <v>108.22177779168976</v>
      </c>
      <c r="K39" s="140">
        <f t="shared" si="7"/>
        <v>8.850003785190786</v>
      </c>
      <c r="L39" s="203">
        <v>42.921295462044185</v>
      </c>
      <c r="M39" s="29">
        <f t="shared" si="8"/>
        <v>143.6217929324529</v>
      </c>
      <c r="N39" s="140">
        <f t="shared" si="9"/>
        <v>8.850003785190786</v>
      </c>
      <c r="O39" s="144">
        <f t="shared" si="10"/>
        <v>42.921295462044185</v>
      </c>
      <c r="P39" s="29">
        <f t="shared" si="11"/>
        <v>116.39548432830402</v>
      </c>
      <c r="Q39" s="140">
        <f t="shared" si="12"/>
        <v>9.518421318742242</v>
      </c>
      <c r="R39" s="203">
        <v>27.53568088301884</v>
      </c>
      <c r="S39" s="29">
        <f t="shared" si="13"/>
        <v>27.22630815935389</v>
      </c>
      <c r="T39" s="140">
        <f t="shared" si="14"/>
        <v>6.806577039838473</v>
      </c>
      <c r="U39" s="203">
        <v>89.95683050765915</v>
      </c>
      <c r="V39" s="36"/>
      <c r="X39" s="105"/>
      <c r="Y39" s="95"/>
      <c r="Z39" s="52">
        <f t="shared" si="25"/>
        <v>3.0571112258158877</v>
      </c>
      <c r="AA39" s="90">
        <f t="shared" si="15"/>
        <v>8.296532394372405E-09</v>
      </c>
      <c r="AB39" s="28">
        <f t="shared" si="16"/>
        <v>143.62179265932855</v>
      </c>
      <c r="AC39" s="29">
        <f t="shared" si="17"/>
        <v>8.850003768360809</v>
      </c>
      <c r="AD39" s="30">
        <f t="shared" si="0"/>
        <v>42.921295849436106</v>
      </c>
      <c r="AE39" s="88">
        <f t="shared" si="18"/>
        <v>3.87391921208291E-07</v>
      </c>
      <c r="AF39" s="28">
        <f t="shared" si="19"/>
        <v>27.226308175946954</v>
      </c>
      <c r="AG39" s="29">
        <f t="shared" si="26"/>
        <v>6.8065770439867395</v>
      </c>
      <c r="AH39" s="30">
        <f t="shared" si="20"/>
        <v>89.95683041217447</v>
      </c>
      <c r="AI39" s="88">
        <f t="shared" si="1"/>
        <v>-9.548467971853825E-08</v>
      </c>
      <c r="AJ39" s="28">
        <f t="shared" si="21"/>
        <v>116.39548448338162</v>
      </c>
      <c r="AK39" s="29">
        <f t="shared" si="22"/>
        <v>9.518421331423951</v>
      </c>
      <c r="AL39" s="30">
        <f t="shared" si="23"/>
        <v>27.535680591111593</v>
      </c>
      <c r="AM39" s="88">
        <f t="shared" si="24"/>
        <v>-2.9190724859518014E-07</v>
      </c>
      <c r="AN39" s="109"/>
    </row>
    <row r="40" spans="2:40" ht="12.75">
      <c r="B40" s="42"/>
      <c r="C40" s="210">
        <f t="shared" si="2"/>
        <v>16</v>
      </c>
      <c r="D40" s="200">
        <v>100</v>
      </c>
      <c r="E40" s="200">
        <v>150</v>
      </c>
      <c r="F40" s="89">
        <f t="shared" si="3"/>
        <v>178.3255450012701</v>
      </c>
      <c r="G40" s="136">
        <f t="shared" si="4"/>
        <v>7.520000000000003</v>
      </c>
      <c r="H40" s="140">
        <f t="shared" si="5"/>
        <v>1.8800000000000008</v>
      </c>
      <c r="I40" s="203">
        <v>11.18</v>
      </c>
      <c r="J40" s="29">
        <f t="shared" si="6"/>
        <v>94.64535782935046</v>
      </c>
      <c r="K40" s="140">
        <f t="shared" si="7"/>
        <v>7.739770978931446</v>
      </c>
      <c r="L40" s="203">
        <v>35.18152448311274</v>
      </c>
      <c r="M40" s="29">
        <f t="shared" si="8"/>
        <v>125.60444174507624</v>
      </c>
      <c r="N40" s="140">
        <f t="shared" si="9"/>
        <v>7.739770978931446</v>
      </c>
      <c r="O40" s="144">
        <f t="shared" si="10"/>
        <v>35.18152448311274</v>
      </c>
      <c r="P40" s="29">
        <f t="shared" si="11"/>
        <v>85.79336228081856</v>
      </c>
      <c r="Q40" s="140">
        <f t="shared" si="12"/>
        <v>7.015885309063851</v>
      </c>
      <c r="R40" s="203">
        <v>20.51979557395499</v>
      </c>
      <c r="S40" s="29">
        <f t="shared" si="13"/>
        <v>39.81107994596374</v>
      </c>
      <c r="T40" s="140">
        <f t="shared" si="14"/>
        <v>9.952769986490935</v>
      </c>
      <c r="U40" s="203">
        <v>80.00406052116821</v>
      </c>
      <c r="V40" s="36"/>
      <c r="X40" s="105"/>
      <c r="Y40" s="95"/>
      <c r="Z40" s="52">
        <f t="shared" si="25"/>
        <v>3.0571112258158872</v>
      </c>
      <c r="AA40" s="90">
        <f t="shared" si="15"/>
        <v>-8.985015443413248E-09</v>
      </c>
      <c r="AB40" s="28">
        <f t="shared" si="16"/>
        <v>125.60444204086568</v>
      </c>
      <c r="AC40" s="29">
        <f t="shared" si="17"/>
        <v>7.739770997158049</v>
      </c>
      <c r="AD40" s="30">
        <f t="shared" si="0"/>
        <v>35.18152485227806</v>
      </c>
      <c r="AE40" s="88">
        <f t="shared" si="18"/>
        <v>3.691653205351031E-07</v>
      </c>
      <c r="AF40" s="28">
        <f t="shared" si="19"/>
        <v>39.81107992799371</v>
      </c>
      <c r="AG40" s="29">
        <f t="shared" si="26"/>
        <v>9.952769981998427</v>
      </c>
      <c r="AH40" s="30">
        <f t="shared" si="20"/>
        <v>80.00406043017604</v>
      </c>
      <c r="AI40" s="88">
        <f t="shared" si="1"/>
        <v>-9.0992173795712E-08</v>
      </c>
      <c r="AJ40" s="28">
        <f t="shared" si="21"/>
        <v>85.79336211287195</v>
      </c>
      <c r="AK40" s="29">
        <f t="shared" si="22"/>
        <v>7.015885295329756</v>
      </c>
      <c r="AL40" s="30">
        <f t="shared" si="23"/>
        <v>20.519795295781837</v>
      </c>
      <c r="AM40" s="88">
        <f t="shared" si="24"/>
        <v>-2.7817315384481844E-07</v>
      </c>
      <c r="AN40" s="109"/>
    </row>
    <row r="41" spans="2:40" ht="12.75">
      <c r="B41" s="42"/>
      <c r="C41" s="210">
        <f t="shared" si="2"/>
        <v>17</v>
      </c>
      <c r="D41" s="200">
        <v>150</v>
      </c>
      <c r="E41" s="200">
        <v>106</v>
      </c>
      <c r="F41" s="89">
        <f t="shared" si="3"/>
        <v>126.09520212918491</v>
      </c>
      <c r="G41" s="136">
        <f t="shared" si="4"/>
        <v>6.479999999999997</v>
      </c>
      <c r="H41" s="140">
        <f t="shared" si="5"/>
        <v>1.6199999999999992</v>
      </c>
      <c r="I41" s="203">
        <v>9.56</v>
      </c>
      <c r="J41" s="29">
        <f t="shared" si="6"/>
        <v>74.57208199604976</v>
      </c>
      <c r="K41" s="140">
        <f t="shared" si="7"/>
        <v>6.098247703941119</v>
      </c>
      <c r="L41" s="203">
        <v>29.08327677917162</v>
      </c>
      <c r="M41" s="29">
        <f t="shared" si="8"/>
        <v>98.96507281181424</v>
      </c>
      <c r="N41" s="140">
        <f t="shared" si="9"/>
        <v>6.098247703941119</v>
      </c>
      <c r="O41" s="144">
        <f t="shared" si="10"/>
        <v>29.08327677917162</v>
      </c>
      <c r="P41" s="29">
        <f t="shared" si="11"/>
        <v>56.90054851930834</v>
      </c>
      <c r="Q41" s="140">
        <f t="shared" si="12"/>
        <v>4.653130636465846</v>
      </c>
      <c r="R41" s="203">
        <v>15.866664937489144</v>
      </c>
      <c r="S41" s="29">
        <f t="shared" si="13"/>
        <v>42.064525254151704</v>
      </c>
      <c r="T41" s="140">
        <f t="shared" si="14"/>
        <v>10.516131313537926</v>
      </c>
      <c r="U41" s="203">
        <v>69.48792920763029</v>
      </c>
      <c r="V41" s="36"/>
      <c r="X41" s="105"/>
      <c r="Y41" s="95"/>
      <c r="Z41" s="52">
        <f t="shared" si="25"/>
        <v>3.0571112258158863</v>
      </c>
      <c r="AA41" s="90">
        <f t="shared" si="15"/>
        <v>-1.793708495105921E-08</v>
      </c>
      <c r="AB41" s="28">
        <f t="shared" si="16"/>
        <v>98.96507340230846</v>
      </c>
      <c r="AC41" s="29">
        <f t="shared" si="17"/>
        <v>6.098247740327492</v>
      </c>
      <c r="AD41" s="30">
        <f t="shared" si="0"/>
        <v>29.083277111950565</v>
      </c>
      <c r="AE41" s="88">
        <f t="shared" si="18"/>
        <v>3.3277894573302547E-07</v>
      </c>
      <c r="AF41" s="28">
        <f t="shared" si="19"/>
        <v>42.06452521827753</v>
      </c>
      <c r="AG41" s="29">
        <f t="shared" si="26"/>
        <v>10.516131304569383</v>
      </c>
      <c r="AH41" s="30">
        <f t="shared" si="20"/>
        <v>69.48792912560666</v>
      </c>
      <c r="AI41" s="88">
        <f t="shared" si="1"/>
        <v>-8.202363233067445E-08</v>
      </c>
      <c r="AJ41" s="28">
        <f t="shared" si="21"/>
        <v>56.90054818403092</v>
      </c>
      <c r="AK41" s="29">
        <f t="shared" si="22"/>
        <v>4.653130609048016</v>
      </c>
      <c r="AL41" s="30">
        <f t="shared" si="23"/>
        <v>15.86666468673382</v>
      </c>
      <c r="AM41" s="88">
        <f t="shared" si="24"/>
        <v>-2.5075532406049206E-07</v>
      </c>
      <c r="AN41" s="109"/>
    </row>
    <row r="42" spans="2:40" ht="12.75">
      <c r="B42" s="42"/>
      <c r="C42" s="210">
        <f t="shared" si="2"/>
        <v>18</v>
      </c>
      <c r="D42" s="200">
        <v>200</v>
      </c>
      <c r="E42" s="200">
        <v>75</v>
      </c>
      <c r="F42" s="89">
        <f t="shared" si="3"/>
        <v>89.16277250063504</v>
      </c>
      <c r="G42" s="136">
        <f t="shared" si="4"/>
        <v>5.520000000000003</v>
      </c>
      <c r="H42" s="140">
        <f t="shared" si="5"/>
        <v>1.3800000000000008</v>
      </c>
      <c r="I42" s="203">
        <v>8.18</v>
      </c>
      <c r="J42" s="29">
        <f t="shared" si="6"/>
        <v>55.19366422385311</v>
      </c>
      <c r="K42" s="140">
        <f t="shared" si="7"/>
        <v>4.5135475249710595</v>
      </c>
      <c r="L42" s="203">
        <v>24.56972925420056</v>
      </c>
      <c r="M42" s="29">
        <f t="shared" si="8"/>
        <v>73.24785432373734</v>
      </c>
      <c r="N42" s="140">
        <f t="shared" si="9"/>
        <v>4.5135475249710595</v>
      </c>
      <c r="O42" s="144">
        <f t="shared" si="10"/>
        <v>24.56972925420056</v>
      </c>
      <c r="P42" s="29">
        <f t="shared" si="11"/>
        <v>36.43686457651273</v>
      </c>
      <c r="Q42" s="140">
        <f t="shared" si="12"/>
        <v>2.9796811326027175</v>
      </c>
      <c r="R42" s="203">
        <v>12.886983804886427</v>
      </c>
      <c r="S42" s="29">
        <f t="shared" si="13"/>
        <v>36.81099076792813</v>
      </c>
      <c r="T42" s="140">
        <f t="shared" si="14"/>
        <v>9.202747691982033</v>
      </c>
      <c r="U42" s="203">
        <v>60.285181515648254</v>
      </c>
      <c r="V42" s="36"/>
      <c r="X42" s="105"/>
      <c r="Y42" s="95"/>
      <c r="Z42" s="52">
        <f t="shared" si="25"/>
        <v>3.057111225815886</v>
      </c>
      <c r="AA42" s="90">
        <f t="shared" si="15"/>
        <v>-1.9038658227126216E-08</v>
      </c>
      <c r="AB42" s="28">
        <f t="shared" si="16"/>
        <v>73.2478549504957</v>
      </c>
      <c r="AC42" s="29">
        <f t="shared" si="17"/>
        <v>4.513547563592035</v>
      </c>
      <c r="AD42" s="30">
        <f t="shared" si="0"/>
        <v>24.56972954835853</v>
      </c>
      <c r="AE42" s="88">
        <f t="shared" si="18"/>
        <v>2.941579708704012E-07</v>
      </c>
      <c r="AF42" s="28">
        <f t="shared" si="19"/>
        <v>36.810990729850815</v>
      </c>
      <c r="AG42" s="29">
        <f t="shared" si="26"/>
        <v>9.202747682462704</v>
      </c>
      <c r="AH42" s="30">
        <f t="shared" si="20"/>
        <v>60.285181443143955</v>
      </c>
      <c r="AI42" s="88">
        <f t="shared" si="1"/>
        <v>-7.250429945315773E-08</v>
      </c>
      <c r="AJ42" s="28">
        <f t="shared" si="21"/>
        <v>36.43686422064487</v>
      </c>
      <c r="AK42" s="29">
        <f t="shared" si="22"/>
        <v>2.979681103501071</v>
      </c>
      <c r="AL42" s="30">
        <f t="shared" si="23"/>
        <v>12.88698358323275</v>
      </c>
      <c r="AM42" s="88">
        <f t="shared" si="24"/>
        <v>-2.2165367674631398E-07</v>
      </c>
      <c r="AN42" s="109"/>
    </row>
    <row r="43" spans="2:40" ht="12.75">
      <c r="B43" s="42"/>
      <c r="C43" s="210">
        <f t="shared" si="2"/>
        <v>19</v>
      </c>
      <c r="D43" s="200">
        <v>270</v>
      </c>
      <c r="E43" s="200">
        <v>53</v>
      </c>
      <c r="F43" s="89">
        <f t="shared" si="3"/>
        <v>63.047601064592456</v>
      </c>
      <c r="G43" s="136">
        <f t="shared" si="4"/>
        <v>4.719999999999999</v>
      </c>
      <c r="H43" s="140">
        <f t="shared" si="5"/>
        <v>1.1799999999999997</v>
      </c>
      <c r="I43" s="203">
        <v>7</v>
      </c>
      <c r="J43" s="29">
        <f t="shared" si="6"/>
        <v>40.68353382099855</v>
      </c>
      <c r="K43" s="140">
        <f t="shared" si="7"/>
        <v>3.3269590987852204</v>
      </c>
      <c r="L43" s="203">
        <v>21.24277015541534</v>
      </c>
      <c r="M43" s="29">
        <f t="shared" si="8"/>
        <v>53.99137021613943</v>
      </c>
      <c r="N43" s="140">
        <f t="shared" si="9"/>
        <v>3.3269590987852204</v>
      </c>
      <c r="O43" s="144">
        <f t="shared" si="10"/>
        <v>21.24277015541534</v>
      </c>
      <c r="P43" s="29">
        <f t="shared" si="11"/>
        <v>24.135019248325914</v>
      </c>
      <c r="Q43" s="140">
        <f t="shared" si="12"/>
        <v>1.9736786445559442</v>
      </c>
      <c r="R43" s="203">
        <v>10.913305160330482</v>
      </c>
      <c r="S43" s="29">
        <f t="shared" si="13"/>
        <v>29.856351868347048</v>
      </c>
      <c r="T43" s="140">
        <f t="shared" si="14"/>
        <v>7.464087967086762</v>
      </c>
      <c r="U43" s="203">
        <v>52.82109354856149</v>
      </c>
      <c r="V43" s="36"/>
      <c r="X43" s="105"/>
      <c r="Y43" s="95"/>
      <c r="Z43" s="52">
        <f t="shared" si="25"/>
        <v>3.057111225815886</v>
      </c>
      <c r="AA43" s="90">
        <f t="shared" si="15"/>
        <v>-1.6797189170850968E-08</v>
      </c>
      <c r="AB43" s="28">
        <f t="shared" si="16"/>
        <v>53.991370769107945</v>
      </c>
      <c r="AC43" s="29">
        <f t="shared" si="17"/>
        <v>3.3269591328592516</v>
      </c>
      <c r="AD43" s="30">
        <f t="shared" si="0"/>
        <v>21.24277041549928</v>
      </c>
      <c r="AE43" s="88">
        <f t="shared" si="18"/>
        <v>2.600839401623034E-07</v>
      </c>
      <c r="AF43" s="28">
        <f t="shared" si="19"/>
        <v>29.85635183475267</v>
      </c>
      <c r="AG43" s="29">
        <f t="shared" si="26"/>
        <v>7.464087958688167</v>
      </c>
      <c r="AH43" s="30">
        <f>AH44+AG44</f>
        <v>52.82109348445579</v>
      </c>
      <c r="AI43" s="88">
        <f t="shared" si="1"/>
        <v>-6.410570563275542E-08</v>
      </c>
      <c r="AJ43" s="28">
        <f t="shared" si="21"/>
        <v>24.135018934355273</v>
      </c>
      <c r="AK43" s="29">
        <f t="shared" si="22"/>
        <v>1.9736786188805078</v>
      </c>
      <c r="AL43" s="30">
        <f>AL44+AK44</f>
        <v>10.913304964352243</v>
      </c>
      <c r="AM43" s="88">
        <f t="shared" si="24"/>
        <v>-1.959782398586185E-07</v>
      </c>
      <c r="AN43" s="109"/>
    </row>
    <row r="44" spans="2:40" ht="12.75">
      <c r="B44" s="42"/>
      <c r="C44" s="210">
        <f t="shared" si="2"/>
        <v>20</v>
      </c>
      <c r="D44" s="200">
        <v>400</v>
      </c>
      <c r="E44" s="202">
        <v>38</v>
      </c>
      <c r="F44" s="89">
        <f t="shared" si="3"/>
        <v>44.87761134463375</v>
      </c>
      <c r="G44" s="136">
        <f t="shared" si="4"/>
        <v>3.399999999999999</v>
      </c>
      <c r="H44" s="140">
        <f t="shared" si="5"/>
        <v>0.8499999999999996</v>
      </c>
      <c r="I44" s="203">
        <v>6.15</v>
      </c>
      <c r="J44" s="29">
        <f t="shared" si="6"/>
        <v>29.370959620622518</v>
      </c>
      <c r="K44" s="140">
        <f t="shared" si="7"/>
        <v>2.4018557920710393</v>
      </c>
      <c r="L44" s="203">
        <v>18.8409143633443</v>
      </c>
      <c r="M44" s="29">
        <f t="shared" si="8"/>
        <v>38.97838278890667</v>
      </c>
      <c r="N44" s="140">
        <f t="shared" si="9"/>
        <v>2.4018557920710393</v>
      </c>
      <c r="O44" s="144">
        <f t="shared" si="10"/>
        <v>18.8409143633443</v>
      </c>
      <c r="P44" s="29">
        <f t="shared" si="11"/>
        <v>16.232408781060176</v>
      </c>
      <c r="Q44" s="140">
        <f t="shared" si="12"/>
        <v>1.327430412681485</v>
      </c>
      <c r="R44" s="203">
        <v>9.585874747648997</v>
      </c>
      <c r="S44" s="29">
        <f t="shared" si="13"/>
        <v>22.74597472281735</v>
      </c>
      <c r="T44" s="140">
        <f t="shared" si="14"/>
        <v>5.686493680704338</v>
      </c>
      <c r="U44" s="203">
        <v>47.134599867857155</v>
      </c>
      <c r="V44" s="36"/>
      <c r="X44" s="105"/>
      <c r="Y44" s="95" t="s">
        <v>145</v>
      </c>
      <c r="Z44" s="52">
        <f t="shared" si="25"/>
        <v>3.057111225815886</v>
      </c>
      <c r="AA44" s="90">
        <f t="shared" si="15"/>
        <v>-1.333598393412109E-08</v>
      </c>
      <c r="AB44" s="28">
        <f t="shared" si="16"/>
        <v>38.978383227931275</v>
      </c>
      <c r="AC44" s="29">
        <f t="shared" si="17"/>
        <v>2.4018558191238233</v>
      </c>
      <c r="AD44" s="55">
        <f>AC45</f>
        <v>18.840914596375455</v>
      </c>
      <c r="AE44" s="57">
        <f t="shared" si="18"/>
        <v>2.3303115526118745E-07</v>
      </c>
      <c r="AF44" s="28">
        <f t="shared" si="19"/>
        <v>22.74597469614538</v>
      </c>
      <c r="AG44" s="29">
        <f t="shared" si="26"/>
        <v>5.686493674036345</v>
      </c>
      <c r="AH44" s="55">
        <f>AG45</f>
        <v>47.134599810419445</v>
      </c>
      <c r="AI44" s="57">
        <f t="shared" si="1"/>
        <v>-5.7437709699570405E-08</v>
      </c>
      <c r="AJ44" s="28">
        <f t="shared" si="21"/>
        <v>16.232408531785882</v>
      </c>
      <c r="AK44" s="29">
        <f t="shared" si="22"/>
        <v>1.327430392296693</v>
      </c>
      <c r="AL44" s="55">
        <f>AK45</f>
        <v>9.58587457205555</v>
      </c>
      <c r="AM44" s="56">
        <f t="shared" si="24"/>
        <v>-1.7559344733797388E-07</v>
      </c>
      <c r="AN44" s="109"/>
    </row>
    <row r="45" spans="2:40" ht="12.75">
      <c r="B45" s="42"/>
      <c r="C45" s="210">
        <v>21</v>
      </c>
      <c r="D45" s="211">
        <f>-D44</f>
        <v>-400</v>
      </c>
      <c r="E45" s="48">
        <v>0</v>
      </c>
      <c r="F45" s="128">
        <f>(E44+E45)/2</f>
        <v>19</v>
      </c>
      <c r="G45" s="137">
        <f t="shared" si="4"/>
        <v>24.6</v>
      </c>
      <c r="H45" s="141">
        <f t="shared" si="5"/>
        <v>6.15</v>
      </c>
      <c r="I45" s="146">
        <v>0</v>
      </c>
      <c r="J45" s="129">
        <f t="shared" si="6"/>
        <v>230.39507068167276</v>
      </c>
      <c r="K45" s="141">
        <f t="shared" si="7"/>
        <v>18.8409143633443</v>
      </c>
      <c r="L45" s="146">
        <v>0</v>
      </c>
      <c r="M45" s="129">
        <f t="shared" si="8"/>
        <v>305.75872813505</v>
      </c>
      <c r="N45" s="141">
        <f t="shared" si="9"/>
        <v>18.8409143633443</v>
      </c>
      <c r="O45" s="145">
        <v>0</v>
      </c>
      <c r="P45" s="129">
        <f t="shared" si="11"/>
        <v>117.22033482233996</v>
      </c>
      <c r="Q45" s="141">
        <f t="shared" si="12"/>
        <v>9.585874747648997</v>
      </c>
      <c r="R45" s="146">
        <v>0</v>
      </c>
      <c r="S45" s="129">
        <f t="shared" si="13"/>
        <v>188.53839947142862</v>
      </c>
      <c r="T45" s="141">
        <f t="shared" si="14"/>
        <v>47.134599867857155</v>
      </c>
      <c r="U45" s="146">
        <v>0</v>
      </c>
      <c r="V45" s="36"/>
      <c r="X45" s="105"/>
      <c r="Y45" s="95" t="s">
        <v>144</v>
      </c>
      <c r="Z45" s="94"/>
      <c r="AA45" s="93">
        <f t="shared" si="15"/>
        <v>-1.1487541303672199E-07</v>
      </c>
      <c r="AB45" s="28">
        <f t="shared" si="16"/>
        <v>305.75873191678306</v>
      </c>
      <c r="AC45" s="29">
        <f t="shared" si="17"/>
        <v>18.840914596375455</v>
      </c>
      <c r="AD45" s="111"/>
      <c r="AE45" s="95"/>
      <c r="AF45" s="28">
        <f t="shared" si="19"/>
        <v>188.53839924167778</v>
      </c>
      <c r="AG45" s="29">
        <f t="shared" si="26"/>
        <v>47.134599810419445</v>
      </c>
      <c r="AH45" s="111"/>
      <c r="AI45" s="95"/>
      <c r="AJ45" s="28">
        <f t="shared" si="21"/>
        <v>117.22033267510528</v>
      </c>
      <c r="AK45" s="29">
        <f t="shared" si="22"/>
        <v>9.58587457205555</v>
      </c>
      <c r="AL45" s="111"/>
      <c r="AM45" s="95"/>
      <c r="AN45" s="101"/>
    </row>
    <row r="46" spans="2:40" ht="12.75">
      <c r="B46" s="42"/>
      <c r="C46" s="78" t="s">
        <v>123</v>
      </c>
      <c r="D46" s="78"/>
      <c r="E46" s="78"/>
      <c r="F46" s="78"/>
      <c r="G46" s="138">
        <f>SUM(G26:G45)</f>
        <v>400</v>
      </c>
      <c r="H46" s="142">
        <f>SUM(H26:H45)</f>
        <v>100</v>
      </c>
      <c r="I46" s="127"/>
      <c r="J46" s="130">
        <f>SUM(J26:J45)</f>
        <v>1222.8444237818678</v>
      </c>
      <c r="K46" s="142">
        <f>SUM(K26:K45)</f>
        <v>100</v>
      </c>
      <c r="L46" s="127"/>
      <c r="M46" s="130">
        <f>SUM(M26:M45)</f>
        <v>1622.8444237818676</v>
      </c>
      <c r="N46" s="142">
        <f>SUM(N26:N45)</f>
        <v>100</v>
      </c>
      <c r="O46" s="127"/>
      <c r="P46" s="130">
        <f>SUM(P26:P45)</f>
        <v>1222.844423781868</v>
      </c>
      <c r="Q46" s="142">
        <f>SUM(Q26:Q45)</f>
        <v>100</v>
      </c>
      <c r="R46" s="127"/>
      <c r="S46" s="130">
        <f>SUM(S26:S45)</f>
        <v>400</v>
      </c>
      <c r="T46" s="142">
        <f>SUM(T26:T45)</f>
        <v>100</v>
      </c>
      <c r="U46" s="127"/>
      <c r="V46" s="36"/>
      <c r="X46" s="105"/>
      <c r="Y46" s="48">
        <f>Control_Panel!E16</f>
        <v>1</v>
      </c>
      <c r="Z46" s="58">
        <f>AVERAGE(Z26:Z44)</f>
        <v>3.05711122581589</v>
      </c>
      <c r="AA46" s="95"/>
      <c r="AB46" s="59">
        <f>SUM(AB26:AB45)</f>
        <v>1622.8444237818678</v>
      </c>
      <c r="AC46" s="60">
        <f>SUM(AC26:AC45)</f>
        <v>100.00000000000001</v>
      </c>
      <c r="AD46" s="112"/>
      <c r="AE46" s="113"/>
      <c r="AF46" s="59">
        <f>SUM(AF26:AF45)</f>
        <v>399.99999999999994</v>
      </c>
      <c r="AG46" s="60">
        <f>SUM(AG26:AG45)</f>
        <v>100</v>
      </c>
      <c r="AH46" s="112"/>
      <c r="AI46" s="113"/>
      <c r="AJ46" s="59">
        <f>SUM(AJ26:AJ45)</f>
        <v>1222.8444237818678</v>
      </c>
      <c r="AK46" s="60">
        <f>SUM(AK26:AK45)</f>
        <v>99.99999999999999</v>
      </c>
      <c r="AL46" s="112"/>
      <c r="AM46" s="113"/>
      <c r="AN46" s="101"/>
    </row>
    <row r="47" spans="2:40" ht="12.75">
      <c r="B47" s="42"/>
      <c r="C47" s="35"/>
      <c r="D47" s="35"/>
      <c r="E47" s="35"/>
      <c r="F47" s="35"/>
      <c r="G47" s="35"/>
      <c r="H47" s="35"/>
      <c r="I47" s="125"/>
      <c r="J47" s="35"/>
      <c r="K47" s="35"/>
      <c r="L47" s="125"/>
      <c r="M47" s="35"/>
      <c r="N47" s="35"/>
      <c r="O47" s="125"/>
      <c r="P47" s="35"/>
      <c r="Q47" s="35"/>
      <c r="R47" s="125"/>
      <c r="S47" s="35"/>
      <c r="T47" s="35"/>
      <c r="U47" s="125"/>
      <c r="V47" s="36"/>
      <c r="X47" s="105"/>
      <c r="Y47" s="95"/>
      <c r="Z47" s="95"/>
      <c r="AA47" s="116"/>
      <c r="AB47" s="95"/>
      <c r="AC47" s="95"/>
      <c r="AD47" s="115"/>
      <c r="AE47" s="95"/>
      <c r="AF47" s="95"/>
      <c r="AG47" s="95"/>
      <c r="AH47" s="115"/>
      <c r="AI47" s="95"/>
      <c r="AJ47" s="95"/>
      <c r="AK47" s="95"/>
      <c r="AL47" s="95"/>
      <c r="AM47" s="95"/>
      <c r="AN47" s="101"/>
    </row>
    <row r="48" spans="2:40" ht="12.75">
      <c r="B48" s="42"/>
      <c r="C48" s="78" t="s">
        <v>103</v>
      </c>
      <c r="D48" s="35"/>
      <c r="E48" s="35"/>
      <c r="F48" s="35"/>
      <c r="G48" s="35"/>
      <c r="H48" s="35"/>
      <c r="I48" s="203">
        <v>95</v>
      </c>
      <c r="J48" s="35"/>
      <c r="K48" s="35"/>
      <c r="L48" s="203">
        <v>72</v>
      </c>
      <c r="M48" s="35"/>
      <c r="N48" s="35"/>
      <c r="O48" s="203">
        <v>62.20164013371195</v>
      </c>
      <c r="P48" s="35"/>
      <c r="Q48" s="35"/>
      <c r="R48" s="203">
        <v>76</v>
      </c>
      <c r="S48" s="35"/>
      <c r="T48" s="35"/>
      <c r="U48" s="203">
        <v>40</v>
      </c>
      <c r="V48" s="36"/>
      <c r="X48" s="105"/>
      <c r="Y48" s="48">
        <f>Control_Panel!E17</f>
        <v>1</v>
      </c>
      <c r="Z48" s="64">
        <f>IF(O48*R48&gt;0,(1/U48-1/O48)/(1/O48-1/R48)," ")</f>
        <v>3.057110893093449</v>
      </c>
      <c r="AA48" s="63">
        <f>((1+$Z$50)*(1/O48)-$Z$50*(1/R48)-(1/U48))/((1+$Z$50)^2/2/$O$50+$Z$50^2/2/$R$50+1/2/$U$50)</f>
        <v>3.6229375271555254E-11</v>
      </c>
      <c r="AB48" s="95"/>
      <c r="AC48" s="95"/>
      <c r="AD48" s="61">
        <f>1/(1/O48-AA48*(1+$Z$50)/2/$O$50)</f>
        <v>62.201640418060755</v>
      </c>
      <c r="AE48" s="62">
        <f>AD48-O48</f>
        <v>2.843488076109679E-07</v>
      </c>
      <c r="AF48" s="95"/>
      <c r="AG48" s="95"/>
      <c r="AH48" s="61">
        <f>1/(1/U48+AA48/2/$U$50)</f>
        <v>39.9999999710165</v>
      </c>
      <c r="AI48" s="62">
        <f>AH48-U48</f>
        <v>-2.898350004443273E-08</v>
      </c>
      <c r="AJ48" s="95"/>
      <c r="AK48" s="95"/>
      <c r="AL48" s="61">
        <f>1/(1/R48+AA48*$Z$50/2/$R$50)</f>
        <v>75.99999968013314</v>
      </c>
      <c r="AM48" s="62">
        <f>AL48-R48</f>
        <v>-3.1986685655738256E-07</v>
      </c>
      <c r="AN48" s="101"/>
    </row>
    <row r="49" spans="2:40" ht="12.75">
      <c r="B49" s="42"/>
      <c r="C49" s="78" t="s">
        <v>21</v>
      </c>
      <c r="D49" s="35"/>
      <c r="E49" s="35"/>
      <c r="F49" s="35"/>
      <c r="G49" s="35"/>
      <c r="H49" s="35"/>
      <c r="I49" s="126">
        <f>1/((I48/100)/$R$17+(1-I48/100))</f>
        <v>2.568807339449541</v>
      </c>
      <c r="J49" s="35"/>
      <c r="K49" s="35"/>
      <c r="L49" s="126">
        <f>1/((L48/100)/$R$17+(1-L48/100))</f>
        <v>1.8617021276595744</v>
      </c>
      <c r="M49" s="35"/>
      <c r="N49" s="35"/>
      <c r="O49" s="126">
        <f>1/((O48/100)/$R$17+(1-O48/100))</f>
        <v>1.6662992104041687</v>
      </c>
      <c r="P49" s="35"/>
      <c r="Q49" s="35"/>
      <c r="R49" s="126">
        <f>1/((R48/100)/$R$17+(1-R48/100))</f>
        <v>1.9553072625698322</v>
      </c>
      <c r="S49" s="35"/>
      <c r="T49" s="35"/>
      <c r="U49" s="126">
        <f>1/((U48/100)/$R$17+(1-U48/100))</f>
        <v>1.346153846153846</v>
      </c>
      <c r="V49" s="36"/>
      <c r="X49" s="105"/>
      <c r="Y49" s="95"/>
      <c r="Z49" s="95"/>
      <c r="AA49" s="95"/>
      <c r="AB49" s="95"/>
      <c r="AC49" s="95"/>
      <c r="AD49" s="95"/>
      <c r="AE49" s="95"/>
      <c r="AF49" s="95"/>
      <c r="AG49" s="95"/>
      <c r="AH49" s="95"/>
      <c r="AI49" s="95"/>
      <c r="AJ49" s="95"/>
      <c r="AK49" s="95"/>
      <c r="AL49" s="95"/>
      <c r="AM49" s="95"/>
      <c r="AN49" s="101"/>
    </row>
    <row r="50" spans="2:40" ht="12.75">
      <c r="B50" s="42"/>
      <c r="C50" s="78" t="s">
        <v>128</v>
      </c>
      <c r="D50" s="35"/>
      <c r="E50" s="35"/>
      <c r="F50" s="35"/>
      <c r="G50" s="35"/>
      <c r="H50" s="35"/>
      <c r="I50" s="126">
        <f>Control_Panel!E10</f>
        <v>0</v>
      </c>
      <c r="J50" s="77"/>
      <c r="K50" s="77"/>
      <c r="L50" s="126">
        <f>Control_Panel!E11</f>
        <v>1</v>
      </c>
      <c r="M50" s="77"/>
      <c r="N50" s="77"/>
      <c r="O50" s="126">
        <f>Control_Panel!E12</f>
        <v>1</v>
      </c>
      <c r="P50" s="77"/>
      <c r="Q50" s="77"/>
      <c r="R50" s="126">
        <f>Control_Panel!E13</f>
        <v>1</v>
      </c>
      <c r="S50" s="77"/>
      <c r="T50" s="77"/>
      <c r="U50" s="126">
        <f>Control_Panel!E14</f>
        <v>1</v>
      </c>
      <c r="V50" s="36"/>
      <c r="X50" s="105"/>
      <c r="Y50" s="91" t="s">
        <v>105</v>
      </c>
      <c r="Z50" s="58">
        <f>(Z46*Y46+Z48*Y48)/(Y46+Y48)</f>
        <v>3.0571110594546695</v>
      </c>
      <c r="AA50" s="95"/>
      <c r="AB50" s="95"/>
      <c r="AC50" s="95"/>
      <c r="AD50" s="95"/>
      <c r="AE50" s="95"/>
      <c r="AF50" s="95"/>
      <c r="AG50" s="95"/>
      <c r="AH50" s="95"/>
      <c r="AI50" s="95"/>
      <c r="AJ50" s="95"/>
      <c r="AK50" s="95"/>
      <c r="AL50" s="95"/>
      <c r="AM50" s="95"/>
      <c r="AN50" s="101"/>
    </row>
    <row r="51" spans="2:40" ht="13.5" thickBot="1">
      <c r="B51" s="80"/>
      <c r="C51" s="43"/>
      <c r="D51" s="43"/>
      <c r="E51" s="43"/>
      <c r="F51" s="43"/>
      <c r="G51" s="43"/>
      <c r="H51" s="43"/>
      <c r="I51" s="43"/>
      <c r="J51" s="43"/>
      <c r="K51" s="43"/>
      <c r="L51" s="43"/>
      <c r="M51" s="44"/>
      <c r="N51" s="44"/>
      <c r="O51" s="44"/>
      <c r="P51" s="43"/>
      <c r="Q51" s="43"/>
      <c r="R51" s="43"/>
      <c r="S51" s="43"/>
      <c r="T51" s="43"/>
      <c r="U51" s="123"/>
      <c r="V51" s="45"/>
      <c r="X51" s="121"/>
      <c r="Y51" s="114"/>
      <c r="Z51" s="114"/>
      <c r="AA51" s="114"/>
      <c r="AB51" s="114"/>
      <c r="AC51" s="114"/>
      <c r="AD51" s="114"/>
      <c r="AE51" s="114"/>
      <c r="AF51" s="114"/>
      <c r="AG51" s="114"/>
      <c r="AH51" s="114"/>
      <c r="AI51" s="114"/>
      <c r="AJ51" s="114"/>
      <c r="AK51" s="114"/>
      <c r="AL51" s="114"/>
      <c r="AM51" s="114"/>
      <c r="AN51" s="110"/>
    </row>
    <row r="52" spans="3:5" ht="13.5" thickTop="1">
      <c r="C52" s="3"/>
      <c r="D52" s="3"/>
      <c r="E52" s="3"/>
    </row>
  </sheetData>
  <sheetProtection insertColumns="0" insertRows="0"/>
  <mergeCells count="18">
    <mergeCell ref="D3:T3"/>
    <mergeCell ref="G21:U21"/>
    <mergeCell ref="F7:K7"/>
    <mergeCell ref="F8:K8"/>
    <mergeCell ref="P10:R10"/>
    <mergeCell ref="Q11:R11"/>
    <mergeCell ref="I11:J11"/>
    <mergeCell ref="I12:J12"/>
    <mergeCell ref="I13:J13"/>
    <mergeCell ref="G22:I22"/>
    <mergeCell ref="J22:L22"/>
    <mergeCell ref="P22:R22"/>
    <mergeCell ref="S22:U22"/>
    <mergeCell ref="M22:O22"/>
    <mergeCell ref="AJ22:AL22"/>
    <mergeCell ref="AB22:AD22"/>
    <mergeCell ref="AF22:AH22"/>
    <mergeCell ref="Z13:AM13"/>
  </mergeCells>
  <printOptions gridLines="1" horizontalCentered="1"/>
  <pageMargins left="0.25" right="0.25" top="1" bottom="1.5" header="0" footer="0.5"/>
  <pageSetup horizontalDpi="300" verticalDpi="300" orientation="landscape" scale="59"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B2:O31"/>
  <sheetViews>
    <sheetView workbookViewId="0" topLeftCell="A1">
      <selection activeCell="A1" sqref="A1"/>
    </sheetView>
  </sheetViews>
  <sheetFormatPr defaultColWidth="11.421875" defaultRowHeight="12.75"/>
  <cols>
    <col min="1" max="2" width="1.7109375" style="0" customWidth="1"/>
    <col min="3" max="14" width="9.140625" style="0" customWidth="1"/>
    <col min="15" max="15" width="1.7109375" style="0" customWidth="1"/>
    <col min="16" max="16384" width="9.140625" style="0" customWidth="1"/>
  </cols>
  <sheetData>
    <row r="1" ht="7.5" customHeight="1" thickBot="1"/>
    <row r="2" spans="2:15" ht="24.75" customHeight="1" thickTop="1">
      <c r="B2" s="82"/>
      <c r="C2" s="122" t="s">
        <v>205</v>
      </c>
      <c r="D2" s="75"/>
      <c r="E2" s="75"/>
      <c r="F2" s="75"/>
      <c r="G2" s="75"/>
      <c r="H2" s="75"/>
      <c r="I2" s="75"/>
      <c r="J2" s="75"/>
      <c r="K2" s="159"/>
      <c r="L2" s="160"/>
      <c r="M2" s="160"/>
      <c r="N2" s="161"/>
      <c r="O2" s="76"/>
    </row>
    <row r="3" spans="2:15" ht="12.75">
      <c r="B3" s="42"/>
      <c r="C3" s="78"/>
      <c r="D3" s="78"/>
      <c r="E3" s="78"/>
      <c r="F3" s="35"/>
      <c r="G3" s="35"/>
      <c r="H3" s="164" t="s">
        <v>209</v>
      </c>
      <c r="I3" s="209">
        <f>Data_File!T5</f>
        <v>1</v>
      </c>
      <c r="J3" s="35"/>
      <c r="K3" s="35"/>
      <c r="L3" s="35"/>
      <c r="M3" s="35"/>
      <c r="N3" s="35"/>
      <c r="O3" s="36"/>
    </row>
    <row r="4" spans="2:15" ht="7.5" customHeight="1">
      <c r="B4" s="42"/>
      <c r="C4" s="78"/>
      <c r="D4" s="35"/>
      <c r="E4" s="35"/>
      <c r="F4" s="35"/>
      <c r="G4" s="35"/>
      <c r="H4" s="35"/>
      <c r="I4" s="35"/>
      <c r="J4" s="35"/>
      <c r="K4" s="35"/>
      <c r="L4" s="35"/>
      <c r="M4" s="35"/>
      <c r="N4" s="35"/>
      <c r="O4" s="36"/>
    </row>
    <row r="5" spans="2:15" ht="12.75">
      <c r="B5" s="42"/>
      <c r="C5" s="78" t="s">
        <v>44</v>
      </c>
      <c r="D5" s="35"/>
      <c r="E5" s="238" t="str">
        <f>Data_File!F7</f>
        <v> Base Case Example</v>
      </c>
      <c r="F5" s="239"/>
      <c r="G5" s="239"/>
      <c r="H5" s="239"/>
      <c r="I5" s="239"/>
      <c r="J5" s="239"/>
      <c r="K5" s="239"/>
      <c r="L5" s="240"/>
      <c r="M5" s="35"/>
      <c r="N5" s="35"/>
      <c r="O5" s="36"/>
    </row>
    <row r="6" spans="2:15" ht="12.75">
      <c r="B6" s="42"/>
      <c r="C6" s="35"/>
      <c r="D6" s="35"/>
      <c r="E6" s="241" t="str">
        <f>Data_File!F8</f>
        <v> </v>
      </c>
      <c r="F6" s="242"/>
      <c r="G6" s="242"/>
      <c r="H6" s="242"/>
      <c r="I6" s="242"/>
      <c r="J6" s="242"/>
      <c r="K6" s="242"/>
      <c r="L6" s="243"/>
      <c r="M6" s="35"/>
      <c r="N6" s="35"/>
      <c r="O6" s="36"/>
    </row>
    <row r="7" spans="2:15" ht="12.75">
      <c r="B7" s="42"/>
      <c r="C7" s="35"/>
      <c r="D7" s="35"/>
      <c r="E7" s="35"/>
      <c r="F7" s="35"/>
      <c r="G7" s="35"/>
      <c r="H7" s="35"/>
      <c r="I7" s="35"/>
      <c r="J7" s="35"/>
      <c r="K7" s="35"/>
      <c r="L7" s="35"/>
      <c r="M7" s="35"/>
      <c r="N7" s="35"/>
      <c r="O7" s="36"/>
    </row>
    <row r="8" spans="2:15" ht="12.75">
      <c r="B8" s="42"/>
      <c r="C8" s="35"/>
      <c r="D8" s="35"/>
      <c r="E8" s="35"/>
      <c r="F8" s="35"/>
      <c r="G8" s="35"/>
      <c r="H8" s="35"/>
      <c r="I8" s="35"/>
      <c r="J8" s="183">
        <f>Reports!J19</f>
        <v>39.9999999710165</v>
      </c>
      <c r="K8" s="162" t="s">
        <v>151</v>
      </c>
      <c r="L8" s="35"/>
      <c r="M8" s="35"/>
      <c r="N8" s="35"/>
      <c r="O8" s="36"/>
    </row>
    <row r="9" spans="2:15" ht="12.75">
      <c r="B9" s="42"/>
      <c r="C9" s="35"/>
      <c r="D9" s="35"/>
      <c r="E9" s="35"/>
      <c r="F9" s="35"/>
      <c r="G9" s="35"/>
      <c r="H9" s="35"/>
      <c r="I9" s="35"/>
      <c r="J9" s="183">
        <f>Reports!J41</f>
        <v>60.28629111210596</v>
      </c>
      <c r="K9" s="162" t="s">
        <v>168</v>
      </c>
      <c r="L9" s="35"/>
      <c r="M9" s="35"/>
      <c r="N9" s="35"/>
      <c r="O9" s="36"/>
    </row>
    <row r="10" spans="2:15" ht="12.75">
      <c r="B10" s="42"/>
      <c r="C10" s="35"/>
      <c r="D10" s="163" t="s">
        <v>152</v>
      </c>
      <c r="E10" s="183">
        <f>Reports!J60</f>
        <v>7.977138232624562</v>
      </c>
      <c r="F10" s="35"/>
      <c r="G10" s="35"/>
      <c r="H10" s="35"/>
      <c r="I10" s="35"/>
      <c r="J10" s="184">
        <f>Reports!J45</f>
        <v>149.96185206603025</v>
      </c>
      <c r="K10" s="92" t="s">
        <v>153</v>
      </c>
      <c r="L10" s="35"/>
      <c r="M10" s="35"/>
      <c r="N10" s="35"/>
      <c r="O10" s="36"/>
    </row>
    <row r="11" spans="2:15" ht="12.75">
      <c r="B11" s="42"/>
      <c r="C11" s="35"/>
      <c r="D11" s="35"/>
      <c r="E11" s="35"/>
      <c r="F11" s="35"/>
      <c r="G11" s="35"/>
      <c r="H11" s="35"/>
      <c r="I11" s="35"/>
      <c r="J11" s="35"/>
      <c r="K11" s="35"/>
      <c r="L11" s="35"/>
      <c r="M11" s="35"/>
      <c r="N11" s="35"/>
      <c r="O11" s="36"/>
    </row>
    <row r="12" spans="2:15" ht="12.75">
      <c r="B12" s="42"/>
      <c r="C12" s="35"/>
      <c r="D12" s="163" t="s">
        <v>154</v>
      </c>
      <c r="E12" s="185">
        <f>Reports!D58</f>
        <v>10</v>
      </c>
      <c r="F12" s="35"/>
      <c r="G12" s="35"/>
      <c r="H12" s="35"/>
      <c r="I12" s="35"/>
      <c r="J12" s="35"/>
      <c r="K12" s="35"/>
      <c r="L12" s="35"/>
      <c r="M12" s="35"/>
      <c r="N12" s="35"/>
      <c r="O12" s="36"/>
    </row>
    <row r="13" spans="2:15" ht="12.75">
      <c r="B13" s="42"/>
      <c r="C13" s="35"/>
      <c r="D13" s="163" t="s">
        <v>155</v>
      </c>
      <c r="E13" s="183">
        <f>Reports!D63</f>
        <v>7.5</v>
      </c>
      <c r="F13" s="35"/>
      <c r="G13" s="35"/>
      <c r="H13" s="35"/>
      <c r="I13" s="35"/>
      <c r="J13" s="35"/>
      <c r="K13" s="163" t="s">
        <v>156</v>
      </c>
      <c r="L13" s="183">
        <f>Reports!J65</f>
        <v>305.73484530821247</v>
      </c>
      <c r="M13" s="35"/>
      <c r="N13" s="35"/>
      <c r="O13" s="36"/>
    </row>
    <row r="14" spans="2:15" ht="14.25">
      <c r="B14" s="42"/>
      <c r="C14" s="35"/>
      <c r="D14" s="163" t="s">
        <v>157</v>
      </c>
      <c r="E14" s="183">
        <f>Reports!D64</f>
        <v>3.6695075563417805</v>
      </c>
      <c r="F14" s="35"/>
      <c r="G14" s="188">
        <f>Reports!J63/100</f>
        <v>0.3720930536646015</v>
      </c>
      <c r="H14" s="162" t="s">
        <v>158</v>
      </c>
      <c r="I14" s="35"/>
      <c r="J14" s="35"/>
      <c r="K14" s="162" t="s">
        <v>166</v>
      </c>
      <c r="L14" s="185">
        <f>Reports!H16</f>
        <v>1565.8403152984838</v>
      </c>
      <c r="M14" s="35"/>
      <c r="N14" s="35"/>
      <c r="O14" s="36"/>
    </row>
    <row r="15" spans="2:15" ht="12.75">
      <c r="B15" s="42"/>
      <c r="C15" s="35"/>
      <c r="D15" s="35"/>
      <c r="E15" s="35"/>
      <c r="F15" s="35"/>
      <c r="G15" s="188">
        <f>Reports!J62/100</f>
        <v>0.3916159238543365</v>
      </c>
      <c r="H15" s="162" t="s">
        <v>159</v>
      </c>
      <c r="I15" s="35"/>
      <c r="J15" s="35"/>
      <c r="K15" s="35"/>
      <c r="L15" s="35"/>
      <c r="M15" s="35"/>
      <c r="N15" s="35"/>
      <c r="O15" s="36"/>
    </row>
    <row r="16" spans="2:15" ht="12.75">
      <c r="B16" s="42"/>
      <c r="C16" s="35"/>
      <c r="D16" s="35"/>
      <c r="E16" s="35"/>
      <c r="F16" s="35"/>
      <c r="G16" s="35"/>
      <c r="H16" s="35"/>
      <c r="I16" s="35"/>
      <c r="J16" s="35"/>
      <c r="K16" s="35"/>
      <c r="L16" s="35"/>
      <c r="M16" s="35"/>
      <c r="N16" s="35"/>
      <c r="O16" s="36"/>
    </row>
    <row r="17" spans="2:15" ht="12.75">
      <c r="B17" s="42"/>
      <c r="C17" s="35"/>
      <c r="D17" s="163" t="s">
        <v>160</v>
      </c>
      <c r="E17" s="183">
        <f>Reports!I19</f>
        <v>75.99869063133127</v>
      </c>
      <c r="F17" s="35"/>
      <c r="G17" s="35"/>
      <c r="H17" s="35"/>
      <c r="I17" s="35"/>
      <c r="J17" s="35"/>
      <c r="K17" s="35"/>
      <c r="L17" s="35"/>
      <c r="M17" s="35"/>
      <c r="N17" s="35"/>
      <c r="O17" s="36"/>
    </row>
    <row r="18" spans="2:15" ht="12.75">
      <c r="B18" s="42"/>
      <c r="C18" s="35"/>
      <c r="D18" s="35"/>
      <c r="E18" s="35"/>
      <c r="F18" s="35"/>
      <c r="G18" s="35"/>
      <c r="H18" s="35"/>
      <c r="I18" s="35"/>
      <c r="J18" s="35"/>
      <c r="K18" s="35"/>
      <c r="L18" s="35"/>
      <c r="M18" s="35"/>
      <c r="N18" s="35"/>
      <c r="O18" s="36"/>
    </row>
    <row r="19" spans="2:15" ht="12.75">
      <c r="B19" s="42"/>
      <c r="C19" s="35"/>
      <c r="D19" s="35"/>
      <c r="E19" s="35"/>
      <c r="F19" s="35"/>
      <c r="G19" s="35"/>
      <c r="H19" s="35"/>
      <c r="I19" s="35"/>
      <c r="J19" s="35"/>
      <c r="K19" s="35"/>
      <c r="L19" s="163" t="s">
        <v>167</v>
      </c>
      <c r="M19" s="35"/>
      <c r="N19" s="35"/>
      <c r="O19" s="36"/>
    </row>
    <row r="20" spans="2:15" ht="14.25">
      <c r="B20" s="42"/>
      <c r="C20" s="35"/>
      <c r="D20" s="35"/>
      <c r="E20" s="35"/>
      <c r="F20" s="35"/>
      <c r="G20" s="35"/>
      <c r="H20" s="35"/>
      <c r="I20" s="35"/>
      <c r="J20" s="35"/>
      <c r="K20" s="35"/>
      <c r="L20" s="162" t="s">
        <v>166</v>
      </c>
      <c r="M20" s="181">
        <f>Reports!G14</f>
        <v>355.0760150136594</v>
      </c>
      <c r="N20" s="35"/>
      <c r="O20" s="36"/>
    </row>
    <row r="21" spans="2:15" ht="12.75">
      <c r="B21" s="42"/>
      <c r="C21" s="164" t="s">
        <v>169</v>
      </c>
      <c r="D21" s="184">
        <f>Reports!D13</f>
        <v>400</v>
      </c>
      <c r="E21" s="34"/>
      <c r="F21" s="163" t="s">
        <v>167</v>
      </c>
      <c r="G21" s="181">
        <f>Reports!F14-Reports!E14</f>
        <v>223.8713541319807</v>
      </c>
      <c r="H21" s="35"/>
      <c r="I21" s="35"/>
      <c r="J21" s="35"/>
      <c r="K21" s="35"/>
      <c r="L21" s="35"/>
      <c r="M21" s="35"/>
      <c r="N21" s="35"/>
      <c r="O21" s="36"/>
    </row>
    <row r="22" spans="2:15" ht="14.25">
      <c r="B22" s="42"/>
      <c r="C22" s="163" t="s">
        <v>161</v>
      </c>
      <c r="D22" s="186">
        <f>Reports!D45</f>
        <v>9794.593204856787</v>
      </c>
      <c r="E22" s="34"/>
      <c r="F22" s="162" t="s">
        <v>166</v>
      </c>
      <c r="G22" s="34"/>
      <c r="H22" s="35"/>
      <c r="I22" s="35"/>
      <c r="J22" s="35"/>
      <c r="K22" s="35"/>
      <c r="L22" s="35"/>
      <c r="M22" s="35"/>
      <c r="N22" s="35"/>
      <c r="O22" s="36"/>
    </row>
    <row r="23" spans="2:15" ht="12.75">
      <c r="B23" s="42"/>
      <c r="C23" s="35"/>
      <c r="D23" s="35"/>
      <c r="E23" s="35"/>
      <c r="F23" s="35"/>
      <c r="G23" s="35"/>
      <c r="H23" s="35"/>
      <c r="I23" s="35"/>
      <c r="J23" s="35"/>
      <c r="K23" s="35"/>
      <c r="L23" s="35"/>
      <c r="M23" s="35"/>
      <c r="N23" s="35"/>
      <c r="O23" s="36"/>
    </row>
    <row r="24" spans="2:15" ht="12.75">
      <c r="B24" s="42"/>
      <c r="C24" s="35"/>
      <c r="D24" s="35"/>
      <c r="E24" s="35"/>
      <c r="F24" s="35"/>
      <c r="G24" s="35"/>
      <c r="H24" s="35"/>
      <c r="I24" s="35"/>
      <c r="J24" s="35"/>
      <c r="K24" s="35"/>
      <c r="L24" s="35"/>
      <c r="M24" s="35"/>
      <c r="N24" s="35"/>
      <c r="O24" s="36"/>
    </row>
    <row r="25" spans="2:15" ht="12.75">
      <c r="B25" s="42"/>
      <c r="C25" s="35"/>
      <c r="D25" s="35"/>
      <c r="E25" s="35"/>
      <c r="F25" s="35"/>
      <c r="G25" s="35"/>
      <c r="H25" s="164" t="s">
        <v>200</v>
      </c>
      <c r="I25" s="189">
        <f>Reports!J110</f>
        <v>4316.139604104002</v>
      </c>
      <c r="J25" s="35"/>
      <c r="K25" s="35"/>
      <c r="L25" s="35"/>
      <c r="M25" s="35"/>
      <c r="N25" s="35"/>
      <c r="O25" s="36"/>
    </row>
    <row r="26" spans="2:15" ht="12.75">
      <c r="B26" s="42"/>
      <c r="C26" s="35"/>
      <c r="D26" s="163" t="s">
        <v>162</v>
      </c>
      <c r="E26" s="187">
        <f>Reports!E47</f>
        <v>10.790349010260003</v>
      </c>
      <c r="F26" s="35"/>
      <c r="G26" s="35"/>
      <c r="H26" s="84" t="s">
        <v>198</v>
      </c>
      <c r="I26" s="182">
        <f>Reports!D115</f>
        <v>38</v>
      </c>
      <c r="J26" s="35"/>
      <c r="K26" s="35"/>
      <c r="L26" s="35"/>
      <c r="M26" s="35"/>
      <c r="N26" s="35"/>
      <c r="O26" s="36"/>
    </row>
    <row r="27" spans="2:15" ht="12.75">
      <c r="B27" s="42"/>
      <c r="C27" s="35"/>
      <c r="D27" s="163" t="s">
        <v>163</v>
      </c>
      <c r="E27" s="187">
        <f>Reports!E48</f>
        <v>15.07964364693317</v>
      </c>
      <c r="F27" s="35"/>
      <c r="G27" s="78"/>
      <c r="H27" s="84" t="s">
        <v>164</v>
      </c>
      <c r="I27" s="182">
        <f>Reports!D112</f>
        <v>72</v>
      </c>
      <c r="J27" s="35"/>
      <c r="K27" s="35"/>
      <c r="L27" s="35"/>
      <c r="M27" s="35"/>
      <c r="N27" s="35"/>
      <c r="O27" s="36"/>
    </row>
    <row r="28" spans="2:15" ht="12.75">
      <c r="B28" s="42"/>
      <c r="C28" s="35"/>
      <c r="D28" s="35"/>
      <c r="E28" s="35"/>
      <c r="F28" s="35"/>
      <c r="G28" s="35"/>
      <c r="H28" s="84" t="s">
        <v>160</v>
      </c>
      <c r="I28" s="182">
        <f>Data_File!L48</f>
        <v>72</v>
      </c>
      <c r="J28" s="35"/>
      <c r="K28" s="35"/>
      <c r="L28" s="35"/>
      <c r="M28" s="35"/>
      <c r="N28" s="35"/>
      <c r="O28" s="36"/>
    </row>
    <row r="29" spans="2:15" ht="12.75">
      <c r="B29" s="42"/>
      <c r="C29" s="35"/>
      <c r="D29" s="35"/>
      <c r="E29" s="35"/>
      <c r="F29" s="35"/>
      <c r="G29" s="35"/>
      <c r="H29" s="35"/>
      <c r="I29" s="35"/>
      <c r="J29" s="35"/>
      <c r="K29" s="35"/>
      <c r="L29" s="35"/>
      <c r="M29" s="35"/>
      <c r="N29" s="35"/>
      <c r="O29" s="36"/>
    </row>
    <row r="30" spans="2:15" ht="12.75">
      <c r="B30" s="42"/>
      <c r="C30" s="35"/>
      <c r="D30" s="35"/>
      <c r="E30" s="35"/>
      <c r="F30" s="35"/>
      <c r="G30" s="35"/>
      <c r="H30" s="35"/>
      <c r="I30" s="35"/>
      <c r="J30" s="35"/>
      <c r="K30" s="35"/>
      <c r="L30" s="163" t="s">
        <v>160</v>
      </c>
      <c r="M30" s="183">
        <f>Reports!H19</f>
        <v>62.201640418060755</v>
      </c>
      <c r="N30" s="35"/>
      <c r="O30" s="36"/>
    </row>
    <row r="31" spans="2:15" ht="13.5" thickBot="1">
      <c r="B31" s="80"/>
      <c r="C31" s="43"/>
      <c r="D31" s="43"/>
      <c r="E31" s="43"/>
      <c r="F31" s="43"/>
      <c r="G31" s="43"/>
      <c r="H31" s="43"/>
      <c r="I31" s="43"/>
      <c r="J31" s="43"/>
      <c r="K31" s="43"/>
      <c r="L31" s="43"/>
      <c r="M31" s="43"/>
      <c r="N31" s="43"/>
      <c r="O31" s="45"/>
    </row>
    <row r="32" ht="13.5" thickTop="1"/>
  </sheetData>
  <sheetProtection password="CD50" sheet="1" objects="1" scenarios="1" insertColumns="0" insertRows="0"/>
  <mergeCells count="2">
    <mergeCell ref="E5:L5"/>
    <mergeCell ref="E6:L6"/>
  </mergeCells>
  <printOptions horizontalCentered="1" verticalCentered="1"/>
  <pageMargins left="0.25" right="0.25" top="1" bottom="1.5" header="0" footer="0.5"/>
  <pageSetup horizontalDpi="300" verticalDpi="300" orientation="landscape" r:id="rId2"/>
  <headerFooter alignWithMargins="0">
    <oddFooter>&amp;L&amp;"Arial,Bold"Moly-Cop Tools&amp;"Arial,Regular" / &amp;F / &amp;A&amp;R&amp;D   /   &amp;T</oddFooter>
  </headerFooter>
  <drawing r:id="rId1"/>
</worksheet>
</file>

<file path=xl/worksheets/sheet5.xml><?xml version="1.0" encoding="utf-8"?>
<worksheet xmlns="http://schemas.openxmlformats.org/spreadsheetml/2006/main" xmlns:r="http://schemas.openxmlformats.org/officeDocument/2006/relationships">
  <sheetPr codeName="Sheet2"/>
  <dimension ref="A1:T143"/>
  <sheetViews>
    <sheetView workbookViewId="0" topLeftCell="A1">
      <selection activeCell="A1" sqref="A1"/>
    </sheetView>
  </sheetViews>
  <sheetFormatPr defaultColWidth="11.421875" defaultRowHeight="12.75"/>
  <cols>
    <col min="1" max="10" width="9.7109375" style="0" customWidth="1"/>
    <col min="11" max="16384" width="9.140625" style="0" customWidth="1"/>
  </cols>
  <sheetData>
    <row r="1" spans="2:10" ht="19.5">
      <c r="B1" s="119"/>
      <c r="E1" s="244" t="s">
        <v>212</v>
      </c>
      <c r="F1" s="244"/>
      <c r="G1" s="244"/>
      <c r="I1" s="25" t="s">
        <v>211</v>
      </c>
      <c r="J1" s="194">
        <f>Data_File!T5</f>
        <v>1</v>
      </c>
    </row>
    <row r="2" spans="2:10" ht="15.75">
      <c r="B2" s="248" t="s">
        <v>124</v>
      </c>
      <c r="C2" s="248"/>
      <c r="D2" s="248"/>
      <c r="E2" s="248"/>
      <c r="F2" s="248"/>
      <c r="G2" s="248"/>
      <c r="H2" s="248"/>
      <c r="I2" s="248"/>
      <c r="J2" s="248"/>
    </row>
    <row r="3" spans="2:10" ht="12.75">
      <c r="B3" s="244" t="s">
        <v>125</v>
      </c>
      <c r="C3" s="244"/>
      <c r="D3" s="244"/>
      <c r="E3" s="244"/>
      <c r="F3" s="244"/>
      <c r="G3" s="244"/>
      <c r="H3" s="244"/>
      <c r="I3" s="244"/>
      <c r="J3" s="244"/>
    </row>
    <row r="5" spans="2:10" ht="12.75">
      <c r="B5" t="s">
        <v>210</v>
      </c>
      <c r="C5" s="65" t="str">
        <f>Data_File!F7</f>
        <v> Base Case Example</v>
      </c>
      <c r="D5" s="66"/>
      <c r="E5" s="66"/>
      <c r="F5" s="66"/>
      <c r="G5" s="66"/>
      <c r="H5" s="66"/>
      <c r="I5" s="66"/>
      <c r="J5" s="67"/>
    </row>
    <row r="6" spans="3:10" ht="12.75">
      <c r="C6" s="68" t="str">
        <f>Data_File!F8</f>
        <v> </v>
      </c>
      <c r="D6" s="69"/>
      <c r="E6" s="69"/>
      <c r="F6" s="69"/>
      <c r="G6" s="69"/>
      <c r="H6" s="69"/>
      <c r="I6" s="69"/>
      <c r="J6" s="70"/>
    </row>
    <row r="8" spans="1:10" ht="16.5">
      <c r="A8" s="31"/>
      <c r="B8" s="245" t="s">
        <v>171</v>
      </c>
      <c r="C8" s="245"/>
      <c r="D8" s="245"/>
      <c r="E8" s="245"/>
      <c r="F8" s="245"/>
      <c r="G8" s="245"/>
      <c r="H8" s="245"/>
      <c r="I8" s="245"/>
      <c r="J8" s="245"/>
    </row>
    <row r="9" spans="1:10" ht="12.75">
      <c r="A9" s="27"/>
      <c r="B9" s="251" t="s">
        <v>134</v>
      </c>
      <c r="C9" s="251"/>
      <c r="D9" s="251"/>
      <c r="E9" s="251"/>
      <c r="F9" s="251"/>
      <c r="G9" s="251"/>
      <c r="H9" s="251"/>
      <c r="I9" s="251"/>
      <c r="J9" s="251"/>
    </row>
    <row r="10" spans="4:10" ht="12.75">
      <c r="D10" s="9"/>
      <c r="E10" s="9"/>
      <c r="F10" s="9"/>
      <c r="G10" s="9"/>
      <c r="H10" s="9"/>
      <c r="I10" s="9"/>
      <c r="J10" s="9"/>
    </row>
    <row r="11" spans="2:10" ht="15" customHeight="1">
      <c r="B11" s="19"/>
      <c r="C11" s="19"/>
      <c r="D11" s="20" t="s">
        <v>6</v>
      </c>
      <c r="E11" s="20" t="s">
        <v>4</v>
      </c>
      <c r="F11" s="20" t="s">
        <v>4</v>
      </c>
      <c r="G11" s="20" t="s">
        <v>11</v>
      </c>
      <c r="H11" s="20" t="s">
        <v>8</v>
      </c>
      <c r="I11" s="20" t="s">
        <v>8</v>
      </c>
      <c r="J11" s="20" t="s">
        <v>8</v>
      </c>
    </row>
    <row r="12" spans="2:10" ht="15" customHeight="1">
      <c r="B12" s="21"/>
      <c r="C12" s="21"/>
      <c r="D12" s="22" t="s">
        <v>5</v>
      </c>
      <c r="E12" s="22" t="s">
        <v>5</v>
      </c>
      <c r="F12" s="22" t="s">
        <v>7</v>
      </c>
      <c r="G12" s="22" t="s">
        <v>12</v>
      </c>
      <c r="H12" s="22" t="s">
        <v>5</v>
      </c>
      <c r="I12" s="22" t="s">
        <v>9</v>
      </c>
      <c r="J12" s="22" t="s">
        <v>10</v>
      </c>
    </row>
    <row r="13" spans="2:10" ht="12.75">
      <c r="B13" t="s">
        <v>90</v>
      </c>
      <c r="D13" s="4">
        <f>Data_File!R15</f>
        <v>400</v>
      </c>
      <c r="E13" s="4">
        <f>D13+I13</f>
        <v>1622.9393812328499</v>
      </c>
      <c r="F13" s="4">
        <f>E13</f>
        <v>1622.9393812328499</v>
      </c>
      <c r="G13" s="4">
        <v>0</v>
      </c>
      <c r="H13" s="4">
        <f>E13</f>
        <v>1622.9393812328499</v>
      </c>
      <c r="I13" s="4">
        <f>J13*C!E8</f>
        <v>1222.9393812328499</v>
      </c>
      <c r="J13" s="4">
        <f>D13</f>
        <v>400</v>
      </c>
    </row>
    <row r="14" spans="2:10" ht="12.75">
      <c r="B14" t="s">
        <v>91</v>
      </c>
      <c r="D14" s="4">
        <f>D15-D13</f>
        <v>21.05263157894734</v>
      </c>
      <c r="E14" s="4">
        <f>D14+I14</f>
        <v>407.2717385696829</v>
      </c>
      <c r="F14" s="4">
        <f>F15-F13</f>
        <v>631.1430927016636</v>
      </c>
      <c r="G14" s="4">
        <f>J14-D14-(F14-E14)</f>
        <v>355.0760150136594</v>
      </c>
      <c r="H14" s="4">
        <f>I14+J14</f>
        <v>986.219107715323</v>
      </c>
      <c r="I14" s="4">
        <f>I15-I13</f>
        <v>386.21910699073555</v>
      </c>
      <c r="J14" s="4">
        <f>J15-J13</f>
        <v>600.0000007245875</v>
      </c>
    </row>
    <row r="15" spans="2:10" ht="12.75">
      <c r="B15" t="s">
        <v>92</v>
      </c>
      <c r="D15" s="4">
        <f>D13/D19*100</f>
        <v>421.05263157894734</v>
      </c>
      <c r="E15" s="4">
        <f>D15+I15</f>
        <v>2030.2111198025327</v>
      </c>
      <c r="F15" s="4">
        <f>F13/F19*100</f>
        <v>2254.0824739345135</v>
      </c>
      <c r="G15" s="4">
        <f>G14</f>
        <v>355.0760150136594</v>
      </c>
      <c r="H15" s="4">
        <f>I15+J15</f>
        <v>2609.158488948173</v>
      </c>
      <c r="I15" s="4">
        <f>I13/I19*100</f>
        <v>1609.1584882235854</v>
      </c>
      <c r="J15" s="4">
        <f>J13/J19*100</f>
        <v>1000.0000007245875</v>
      </c>
    </row>
    <row r="16" spans="2:10" ht="12.75">
      <c r="B16" t="s">
        <v>93</v>
      </c>
      <c r="D16" s="4">
        <f>D13/Data_File!$R$17+D14</f>
        <v>163.9097744360902</v>
      </c>
      <c r="E16" s="4">
        <f>D16+I16</f>
        <v>986.8929461528436</v>
      </c>
      <c r="F16" s="4">
        <f>F13/Data_File!$R$17+F14</f>
        <v>1210.7643002848245</v>
      </c>
      <c r="G16" s="4">
        <f>G13/Data_File!$R$17+G14</f>
        <v>355.0760150136594</v>
      </c>
      <c r="H16" s="4">
        <f>I16+J16</f>
        <v>1565.8403152984838</v>
      </c>
      <c r="I16" s="4">
        <f>I13/Data_File!$R$17+I14</f>
        <v>822.9831717167534</v>
      </c>
      <c r="J16" s="4">
        <f>J13/Data_File!$R$17+J14</f>
        <v>742.8571435817304</v>
      </c>
    </row>
    <row r="17" spans="2:10" ht="12.75">
      <c r="B17" t="s">
        <v>94</v>
      </c>
      <c r="D17" s="1">
        <f aca="true" t="shared" si="0" ref="D17:J17">D15/D16</f>
        <v>2.5688073394495414</v>
      </c>
      <c r="E17" s="1">
        <f t="shared" si="0"/>
        <v>2.0571746182975623</v>
      </c>
      <c r="F17" s="1">
        <f t="shared" si="0"/>
        <v>1.8617021276595744</v>
      </c>
      <c r="G17" s="1">
        <f t="shared" si="0"/>
        <v>1</v>
      </c>
      <c r="H17" s="1">
        <f t="shared" si="0"/>
        <v>1.666299215479587</v>
      </c>
      <c r="I17" s="1">
        <f t="shared" si="0"/>
        <v>1.9552750815874647</v>
      </c>
      <c r="J17" s="1">
        <f t="shared" si="0"/>
        <v>1.3461538458162055</v>
      </c>
    </row>
    <row r="18" spans="2:10" ht="12.75">
      <c r="B18" t="s">
        <v>95</v>
      </c>
      <c r="D18" s="4">
        <f>D13/Data_File!R17/D16*100</f>
        <v>87.1559633027523</v>
      </c>
      <c r="E18" s="4">
        <f>E13/Data_File!R17/E16*100</f>
        <v>58.73192323875347</v>
      </c>
      <c r="F18" s="4">
        <f>F13/Data_File!$R$17/F16*100</f>
        <v>47.872340425531924</v>
      </c>
      <c r="G18" s="4">
        <v>0</v>
      </c>
      <c r="H18" s="4">
        <f>H13/Data_File!R17/H16*100</f>
        <v>37.016623082199295</v>
      </c>
      <c r="I18" s="4">
        <f>I13/Data_File!R17/I16*100</f>
        <v>53.07083786597027</v>
      </c>
      <c r="J18" s="4">
        <f>J13/Data_File!R17/J16*100</f>
        <v>19.230769212011417</v>
      </c>
    </row>
    <row r="19" spans="2:10" ht="12.75">
      <c r="B19" s="9" t="s">
        <v>96</v>
      </c>
      <c r="C19" s="9"/>
      <c r="D19" s="10">
        <f>Data_File!I48</f>
        <v>95</v>
      </c>
      <c r="E19" s="10">
        <f>E13/E15*100</f>
        <v>79.93943907620327</v>
      </c>
      <c r="F19" s="10">
        <f>Data_File!L48</f>
        <v>72</v>
      </c>
      <c r="G19" s="10">
        <v>0</v>
      </c>
      <c r="H19" s="10">
        <f>C!H15</f>
        <v>62.201640418060755</v>
      </c>
      <c r="I19" s="10">
        <f>C!I15</f>
        <v>75.99869063133127</v>
      </c>
      <c r="J19" s="10">
        <f>C!J15</f>
        <v>39.9999999710165</v>
      </c>
    </row>
    <row r="21" spans="4:10" ht="15.75">
      <c r="D21" s="248" t="s">
        <v>97</v>
      </c>
      <c r="E21" s="248"/>
      <c r="F21" s="248"/>
      <c r="G21" s="248"/>
      <c r="H21" s="248"/>
      <c r="I21" s="248"/>
      <c r="J21" s="248"/>
    </row>
    <row r="22" spans="1:3" ht="12.75">
      <c r="A22" s="2" t="s">
        <v>2</v>
      </c>
      <c r="B22" s="3" t="s">
        <v>0</v>
      </c>
      <c r="C22" s="3" t="s">
        <v>1</v>
      </c>
    </row>
    <row r="23" spans="1:3" ht="12.75">
      <c r="A23" s="3"/>
      <c r="B23" s="3"/>
      <c r="C23" s="3"/>
    </row>
    <row r="24" spans="1:20" ht="12.75">
      <c r="A24" s="15">
        <v>1</v>
      </c>
      <c r="B24">
        <f>Data_File!D25</f>
        <v>1.05</v>
      </c>
      <c r="C24">
        <f>Data_File!E25</f>
        <v>25400</v>
      </c>
      <c r="D24" s="5">
        <f>Data_File!I25</f>
        <v>100</v>
      </c>
      <c r="E24" s="5">
        <f>(D24+C!E$8*I24)/(1+C!E$8)</f>
        <v>100.00000000000001</v>
      </c>
      <c r="F24" s="5">
        <f>H24</f>
        <v>100</v>
      </c>
      <c r="G24" s="5">
        <v>0</v>
      </c>
      <c r="H24" s="5">
        <f>C!P21</f>
        <v>100</v>
      </c>
      <c r="I24" s="5">
        <f>C!Q21</f>
        <v>100</v>
      </c>
      <c r="J24" s="5">
        <f>C!R21</f>
        <v>100.00000000000001</v>
      </c>
      <c r="M24" s="158">
        <f>IF(D24&gt;80,IF(D25&lt;80,$C25*EXP(LN(80/D25)*LN($C24/$C25)/LN(D24/D25)),0),0)</f>
        <v>0</v>
      </c>
      <c r="N24" s="158">
        <f aca="true" t="shared" si="1" ref="N24:P39">IF(E24&gt;80,IF(E25&lt;80,$C25*EXP(LN(80/E25)*LN($C24/$C25)/LN(E24/E25)),0),0)</f>
        <v>0</v>
      </c>
      <c r="O24" s="158">
        <f t="shared" si="1"/>
        <v>0</v>
      </c>
      <c r="P24" s="158">
        <f t="shared" si="1"/>
        <v>0</v>
      </c>
      <c r="Q24" s="158">
        <f>IF(H24&gt;80,IF(H25&lt;80,$C25*EXP(LN(80/H25)*LN($C24/$C25)/LN(H24/H25)),0),0)</f>
        <v>0</v>
      </c>
      <c r="R24" s="158">
        <f>IF(I24&gt;80,IF(I25&lt;80,$C25*EXP(LN(80/I25)*LN($C24/$C25)/LN(I24/I25)),0),0)</f>
        <v>0</v>
      </c>
      <c r="S24" s="158">
        <f>IF(J24&gt;80,IF(J25&lt;80,$C25*EXP(LN(80/J25)*LN($C24/$C25)/LN(J24/J25)),0),0)</f>
        <v>0</v>
      </c>
      <c r="T24" s="158"/>
    </row>
    <row r="25" spans="1:20" ht="12.75">
      <c r="A25" s="15">
        <v>2</v>
      </c>
      <c r="B25">
        <f>Data_File!D26</f>
        <v>0.742</v>
      </c>
      <c r="C25">
        <f>Data_File!E26</f>
        <v>19050</v>
      </c>
      <c r="D25" s="5">
        <f>Data_File!I26</f>
        <v>100</v>
      </c>
      <c r="E25" s="5">
        <f>(D25+C!E$8*I25)/(1+C!E$8)</f>
        <v>100.00000000000001</v>
      </c>
      <c r="F25" s="5">
        <f aca="true" t="shared" si="2" ref="F25:F43">H25</f>
        <v>100</v>
      </c>
      <c r="G25" s="5">
        <v>0</v>
      </c>
      <c r="H25" s="5">
        <f>C!P22</f>
        <v>100</v>
      </c>
      <c r="I25" s="5">
        <f>C!Q22</f>
        <v>100</v>
      </c>
      <c r="J25" s="5">
        <f>C!R22</f>
        <v>100.00000000000001</v>
      </c>
      <c r="M25" s="158">
        <f aca="true" t="shared" si="3" ref="M25:M43">IF(D25&gt;80,IF(D26&lt;80,$C26*EXP(LN(80/D26)*LN($C25/$C26)/LN(D25/D26)),0),0)</f>
        <v>0</v>
      </c>
      <c r="N25" s="158">
        <f t="shared" si="1"/>
        <v>0</v>
      </c>
      <c r="O25" s="158">
        <f t="shared" si="1"/>
        <v>0</v>
      </c>
      <c r="P25" s="158">
        <f t="shared" si="1"/>
        <v>0</v>
      </c>
      <c r="Q25" s="158">
        <f aca="true" t="shared" si="4" ref="Q25:Q43">IF(H25&gt;80,IF(H26&lt;80,$C26*EXP(LN(80/H26)*LN($C25/$C26)/LN(H25/H26)),0),0)</f>
        <v>0</v>
      </c>
      <c r="R25" s="158">
        <f aca="true" t="shared" si="5" ref="R25:R43">IF(I25&gt;80,IF(I26&lt;80,$C26*EXP(LN(80/I26)*LN($C25/$C26)/LN(I25/I26)),0),0)</f>
        <v>0</v>
      </c>
      <c r="S25" s="158">
        <f aca="true" t="shared" si="6" ref="S25:S43">IF(J25&gt;80,IF(J26&lt;80,$C26*EXP(LN(80/J26)*LN($C25/$C26)/LN(J25/J26)),0),0)</f>
        <v>0</v>
      </c>
      <c r="T25" s="158"/>
    </row>
    <row r="26" spans="1:20" ht="12.75">
      <c r="A26" s="15">
        <v>3</v>
      </c>
      <c r="B26">
        <f>Data_File!D27</f>
        <v>0.525</v>
      </c>
      <c r="C26">
        <f>Data_File!E27</f>
        <v>12700</v>
      </c>
      <c r="D26" s="5">
        <f>Data_File!I27</f>
        <v>95</v>
      </c>
      <c r="E26" s="5">
        <f>(D26+C!E$8*I26)/(1+C!E$8)</f>
        <v>97.64800311588442</v>
      </c>
      <c r="F26" s="5">
        <f t="shared" si="2"/>
        <v>98.88023526951574</v>
      </c>
      <c r="G26" s="5">
        <v>0</v>
      </c>
      <c r="H26" s="5">
        <f>C!P23</f>
        <v>98.88023526951574</v>
      </c>
      <c r="I26" s="5">
        <f>C!Q23</f>
        <v>98.51411411256028</v>
      </c>
      <c r="J26" s="5">
        <f>C!R23</f>
        <v>99.99959522237413</v>
      </c>
      <c r="M26" s="158">
        <f t="shared" si="3"/>
        <v>9794.593204856787</v>
      </c>
      <c r="N26" s="158">
        <f t="shared" si="1"/>
        <v>0</v>
      </c>
      <c r="O26" s="158">
        <f t="shared" si="1"/>
        <v>0</v>
      </c>
      <c r="P26" s="158">
        <f t="shared" si="1"/>
        <v>0</v>
      </c>
      <c r="Q26" s="158">
        <f t="shared" si="4"/>
        <v>0</v>
      </c>
      <c r="R26" s="158">
        <f t="shared" si="5"/>
        <v>0</v>
      </c>
      <c r="S26" s="158">
        <f t="shared" si="6"/>
        <v>0</v>
      </c>
      <c r="T26" s="158"/>
    </row>
    <row r="27" spans="1:20" ht="12.75">
      <c r="A27" s="15">
        <v>4</v>
      </c>
      <c r="B27">
        <f>Data_File!D28</f>
        <v>0.371</v>
      </c>
      <c r="C27">
        <f>Data_File!E28</f>
        <v>9500</v>
      </c>
      <c r="D27" s="5">
        <f>Data_File!I28</f>
        <v>78.4</v>
      </c>
      <c r="E27" s="5">
        <f>(D27+C!E$8*I27)/(1+C!E$8)</f>
        <v>91.00026367261155</v>
      </c>
      <c r="F27" s="5">
        <f t="shared" si="2"/>
        <v>96.32361001361686</v>
      </c>
      <c r="G27" s="5">
        <v>0</v>
      </c>
      <c r="H27" s="5">
        <f>C!P24</f>
        <v>96.32361001361686</v>
      </c>
      <c r="I27" s="5">
        <f>C!Q24</f>
        <v>95.12156808588806</v>
      </c>
      <c r="J27" s="5">
        <f>C!R24</f>
        <v>99.99867104189836</v>
      </c>
      <c r="M27" s="158">
        <f t="shared" si="3"/>
        <v>0</v>
      </c>
      <c r="N27" s="158">
        <f t="shared" si="1"/>
        <v>0</v>
      </c>
      <c r="O27" s="158">
        <f t="shared" si="1"/>
        <v>0</v>
      </c>
      <c r="P27" s="158">
        <f t="shared" si="1"/>
        <v>0</v>
      </c>
      <c r="Q27" s="158">
        <f t="shared" si="4"/>
        <v>0</v>
      </c>
      <c r="R27" s="158">
        <f t="shared" si="5"/>
        <v>0</v>
      </c>
      <c r="S27" s="158">
        <f t="shared" si="6"/>
        <v>0</v>
      </c>
      <c r="T27" s="158"/>
    </row>
    <row r="28" spans="1:20" ht="12.75">
      <c r="A28" s="15">
        <v>5</v>
      </c>
      <c r="B28">
        <f>Data_File!D29</f>
        <v>3</v>
      </c>
      <c r="C28">
        <f>Data_File!E29</f>
        <v>6700</v>
      </c>
      <c r="D28" s="5">
        <f>Data_File!I29</f>
        <v>64.33</v>
      </c>
      <c r="E28" s="5">
        <f>(D28+C!E$8*I28)/(1+C!E$8)</f>
        <v>85.02128626693468</v>
      </c>
      <c r="F28" s="5">
        <f t="shared" si="2"/>
        <v>93.81219087253714</v>
      </c>
      <c r="G28" s="5">
        <v>0</v>
      </c>
      <c r="H28" s="5">
        <f>C!P25</f>
        <v>93.81219087253714</v>
      </c>
      <c r="I28" s="5">
        <f>C!Q25</f>
        <v>91.78900888163228</v>
      </c>
      <c r="J28" s="5">
        <f>C!R25</f>
        <v>99.99776320273371</v>
      </c>
      <c r="M28" s="158">
        <f t="shared" si="3"/>
        <v>0</v>
      </c>
      <c r="N28" s="158">
        <f t="shared" si="1"/>
        <v>0</v>
      </c>
      <c r="O28" s="158">
        <f t="shared" si="1"/>
        <v>0</v>
      </c>
      <c r="P28" s="158">
        <f t="shared" si="1"/>
        <v>0</v>
      </c>
      <c r="Q28" s="158">
        <f t="shared" si="4"/>
        <v>0</v>
      </c>
      <c r="R28" s="158">
        <f t="shared" si="5"/>
        <v>0</v>
      </c>
      <c r="S28" s="158">
        <f t="shared" si="6"/>
        <v>0</v>
      </c>
      <c r="T28" s="158"/>
    </row>
    <row r="29" spans="1:20" ht="12.75">
      <c r="A29" s="15">
        <v>6</v>
      </c>
      <c r="B29">
        <f>Data_File!D30</f>
        <v>4</v>
      </c>
      <c r="C29">
        <f>Data_File!E30</f>
        <v>4750</v>
      </c>
      <c r="D29" s="5">
        <f>Data_File!I30</f>
        <v>54</v>
      </c>
      <c r="E29" s="5">
        <f>(D29+C!E$8*I29)/(1+C!E$8)</f>
        <v>80.19517028078282</v>
      </c>
      <c r="F29" s="5">
        <f t="shared" si="2"/>
        <v>91.5318694659079</v>
      </c>
      <c r="G29" s="5">
        <v>0</v>
      </c>
      <c r="H29" s="5">
        <f>C!P26</f>
        <v>91.5318694659079</v>
      </c>
      <c r="I29" s="5">
        <f>C!Q26</f>
        <v>88.76310772159867</v>
      </c>
      <c r="J29" s="5">
        <f>C!R26</f>
        <v>99.99693890182468</v>
      </c>
      <c r="M29" s="158">
        <f t="shared" si="3"/>
        <v>0</v>
      </c>
      <c r="N29" s="158">
        <f t="shared" si="1"/>
        <v>4679.402004174648</v>
      </c>
      <c r="O29" s="158">
        <f t="shared" si="1"/>
        <v>0</v>
      </c>
      <c r="P29" s="158">
        <f t="shared" si="1"/>
        <v>0</v>
      </c>
      <c r="Q29" s="158">
        <f t="shared" si="4"/>
        <v>0</v>
      </c>
      <c r="R29" s="158">
        <f t="shared" si="5"/>
        <v>0</v>
      </c>
      <c r="S29" s="158">
        <f t="shared" si="6"/>
        <v>0</v>
      </c>
      <c r="T29" s="158"/>
    </row>
    <row r="30" spans="1:20" ht="12.75">
      <c r="A30" s="15">
        <v>7</v>
      </c>
      <c r="B30">
        <f>Data_File!D31</f>
        <v>6</v>
      </c>
      <c r="C30">
        <f>Data_File!E31</f>
        <v>3350</v>
      </c>
      <c r="D30" s="5">
        <f>Data_File!I31</f>
        <v>45.66</v>
      </c>
      <c r="E30" s="5">
        <f>(D30+C!E$8*I30)/(1+C!E$8)</f>
        <v>75.76550302067594</v>
      </c>
      <c r="F30" s="5">
        <f t="shared" si="2"/>
        <v>89.15752030478701</v>
      </c>
      <c r="G30" s="5">
        <v>0</v>
      </c>
      <c r="H30" s="5">
        <f>C!P27</f>
        <v>89.15752030478701</v>
      </c>
      <c r="I30" s="5">
        <f>C!Q27</f>
        <v>85.61243525057156</v>
      </c>
      <c r="J30" s="5">
        <f>C!R27</f>
        <v>99.99608061133713</v>
      </c>
      <c r="M30" s="158">
        <f t="shared" si="3"/>
        <v>0</v>
      </c>
      <c r="N30" s="158">
        <f t="shared" si="1"/>
        <v>0</v>
      </c>
      <c r="O30" s="158">
        <f t="shared" si="1"/>
        <v>0</v>
      </c>
      <c r="P30" s="158">
        <f t="shared" si="1"/>
        <v>0</v>
      </c>
      <c r="Q30" s="158">
        <f t="shared" si="4"/>
        <v>0</v>
      </c>
      <c r="R30" s="158">
        <f t="shared" si="5"/>
        <v>0</v>
      </c>
      <c r="S30" s="158">
        <f t="shared" si="6"/>
        <v>0</v>
      </c>
      <c r="T30" s="158"/>
    </row>
    <row r="31" spans="1:20" ht="12.75">
      <c r="A31" s="15">
        <v>8</v>
      </c>
      <c r="B31">
        <f>Data_File!D32</f>
        <v>8</v>
      </c>
      <c r="C31">
        <f>Data_File!E32</f>
        <v>2360</v>
      </c>
      <c r="D31" s="5">
        <f>Data_File!I32</f>
        <v>38.82</v>
      </c>
      <c r="E31" s="5">
        <f>(D31+C!E$8*I31)/(1+C!E$8)</f>
        <v>71.36028903089743</v>
      </c>
      <c r="F31" s="5">
        <f t="shared" si="2"/>
        <v>86.4378940766412</v>
      </c>
      <c r="G31" s="5">
        <v>0</v>
      </c>
      <c r="H31" s="5">
        <f>C!P28</f>
        <v>86.4378940766412</v>
      </c>
      <c r="I31" s="5">
        <f>C!Q28</f>
        <v>82.00359303443469</v>
      </c>
      <c r="J31" s="5">
        <f>C!R28</f>
        <v>99.99509750853173</v>
      </c>
      <c r="M31" s="158">
        <f t="shared" si="3"/>
        <v>0</v>
      </c>
      <c r="N31" s="158">
        <f t="shared" si="1"/>
        <v>0</v>
      </c>
      <c r="O31" s="158">
        <f t="shared" si="1"/>
        <v>0</v>
      </c>
      <c r="P31" s="158">
        <f t="shared" si="1"/>
        <v>0</v>
      </c>
      <c r="Q31" s="158">
        <f t="shared" si="4"/>
        <v>0</v>
      </c>
      <c r="R31" s="158">
        <f t="shared" si="5"/>
        <v>2021.497212443238</v>
      </c>
      <c r="S31" s="158">
        <f t="shared" si="6"/>
        <v>0</v>
      </c>
      <c r="T31" s="158"/>
    </row>
    <row r="32" spans="1:20" ht="12.75">
      <c r="A32" s="15">
        <v>9</v>
      </c>
      <c r="B32">
        <f>Data_File!D33</f>
        <v>10</v>
      </c>
      <c r="C32">
        <f>Data_File!E33</f>
        <v>1700</v>
      </c>
      <c r="D32" s="5">
        <f>Data_File!I33</f>
        <v>33.41</v>
      </c>
      <c r="E32" s="5">
        <f>(D32+C!E$8*I32)/(1+C!E$8)</f>
        <v>66.87173107209713</v>
      </c>
      <c r="F32" s="5">
        <f t="shared" si="2"/>
        <v>83.28243812128906</v>
      </c>
      <c r="G32" s="5">
        <v>0</v>
      </c>
      <c r="H32" s="5">
        <f>C!P29</f>
        <v>83.28243812128906</v>
      </c>
      <c r="I32" s="5">
        <f>C!Q29</f>
        <v>77.81642108228037</v>
      </c>
      <c r="J32" s="5">
        <f>C!R29</f>
        <v>99.99395686002278</v>
      </c>
      <c r="M32" s="158">
        <f t="shared" si="3"/>
        <v>0</v>
      </c>
      <c r="N32" s="158">
        <f t="shared" si="1"/>
        <v>0</v>
      </c>
      <c r="O32" s="158">
        <f t="shared" si="1"/>
        <v>1273.4936136530846</v>
      </c>
      <c r="P32" s="158">
        <f t="shared" si="1"/>
        <v>0</v>
      </c>
      <c r="Q32" s="158">
        <f t="shared" si="4"/>
        <v>1273.4936136530846</v>
      </c>
      <c r="R32" s="158">
        <f t="shared" si="5"/>
        <v>0</v>
      </c>
      <c r="S32" s="158">
        <f t="shared" si="6"/>
        <v>0</v>
      </c>
      <c r="T32" s="158"/>
    </row>
    <row r="33" spans="1:20" ht="12.75">
      <c r="A33" s="15">
        <v>10</v>
      </c>
      <c r="B33">
        <f>Data_File!D34</f>
        <v>14</v>
      </c>
      <c r="C33">
        <f>Data_File!E34</f>
        <v>1180</v>
      </c>
      <c r="D33" s="5">
        <f>Data_File!I34</f>
        <v>28.31</v>
      </c>
      <c r="E33" s="5">
        <f>(D33+C!E$8*I33)/(1+C!E$8)</f>
        <v>61.48803303029891</v>
      </c>
      <c r="F33" s="5">
        <f t="shared" si="2"/>
        <v>79.15535092984342</v>
      </c>
      <c r="G33" s="5">
        <v>0</v>
      </c>
      <c r="H33" s="5">
        <f>C!P30</f>
        <v>79.15535092984342</v>
      </c>
      <c r="I33" s="5">
        <f>C!Q30</f>
        <v>72.33993085596283</v>
      </c>
      <c r="J33" s="5">
        <f>C!R30</f>
        <v>99.9924649498271</v>
      </c>
      <c r="M33" s="158">
        <f t="shared" si="3"/>
        <v>0</v>
      </c>
      <c r="N33" s="158">
        <f t="shared" si="1"/>
        <v>0</v>
      </c>
      <c r="O33" s="158">
        <f t="shared" si="1"/>
        <v>0</v>
      </c>
      <c r="P33" s="158">
        <f t="shared" si="1"/>
        <v>0</v>
      </c>
      <c r="Q33" s="158">
        <f t="shared" si="4"/>
        <v>0</v>
      </c>
      <c r="R33" s="158">
        <f t="shared" si="5"/>
        <v>0</v>
      </c>
      <c r="S33" s="158">
        <f t="shared" si="6"/>
        <v>0</v>
      </c>
      <c r="T33" s="158"/>
    </row>
    <row r="34" spans="1:20" ht="12.75">
      <c r="A34" s="15">
        <v>11</v>
      </c>
      <c r="B34">
        <f>Data_File!D35</f>
        <v>20</v>
      </c>
      <c r="C34">
        <f>Data_File!E35</f>
        <v>850</v>
      </c>
      <c r="D34" s="5">
        <f>Data_File!I35</f>
        <v>24.41</v>
      </c>
      <c r="E34" s="5">
        <f>(D34+C!E$8*I34)/(1+C!E$8)</f>
        <v>55.66986163219905</v>
      </c>
      <c r="F34" s="5">
        <f t="shared" si="2"/>
        <v>74.29792341001284</v>
      </c>
      <c r="G34" s="5">
        <v>0</v>
      </c>
      <c r="H34" s="5">
        <f>C!P31</f>
        <v>74.29792341001284</v>
      </c>
      <c r="I34" s="5">
        <f>C!Q31</f>
        <v>65.89436240857796</v>
      </c>
      <c r="J34" s="5">
        <f>C!R31</f>
        <v>99.99053763813104</v>
      </c>
      <c r="M34" s="158">
        <f t="shared" si="3"/>
        <v>0</v>
      </c>
      <c r="N34" s="158">
        <f t="shared" si="1"/>
        <v>0</v>
      </c>
      <c r="O34" s="158">
        <f t="shared" si="1"/>
        <v>0</v>
      </c>
      <c r="P34" s="158">
        <f t="shared" si="1"/>
        <v>0</v>
      </c>
      <c r="Q34" s="158">
        <f t="shared" si="4"/>
        <v>0</v>
      </c>
      <c r="R34" s="158">
        <f t="shared" si="5"/>
        <v>0</v>
      </c>
      <c r="S34" s="158">
        <f t="shared" si="6"/>
        <v>0</v>
      </c>
      <c r="T34" s="158"/>
    </row>
    <row r="35" spans="1:20" ht="12.75">
      <c r="A35" s="15">
        <v>12</v>
      </c>
      <c r="B35">
        <f>Data_File!D36</f>
        <v>28</v>
      </c>
      <c r="C35">
        <f>Data_File!E36</f>
        <v>600</v>
      </c>
      <c r="D35" s="5">
        <f>Data_File!I36</f>
        <v>20.87</v>
      </c>
      <c r="E35" s="5">
        <f>(D35+C!E$8*I35)/(1+C!E$8)</f>
        <v>48.604618084254525</v>
      </c>
      <c r="F35" s="5">
        <f t="shared" si="2"/>
        <v>68.0985855532371</v>
      </c>
      <c r="G35" s="5">
        <v>0</v>
      </c>
      <c r="H35" s="5">
        <f>C!P32</f>
        <v>68.0985855532371</v>
      </c>
      <c r="I35" s="5">
        <f>C!Q32</f>
        <v>57.676079355309554</v>
      </c>
      <c r="J35" s="5">
        <f>C!R32</f>
        <v>99.96381875470972</v>
      </c>
      <c r="M35" s="158">
        <f t="shared" si="3"/>
        <v>0</v>
      </c>
      <c r="N35" s="158">
        <f t="shared" si="1"/>
        <v>0</v>
      </c>
      <c r="O35" s="158">
        <f t="shared" si="1"/>
        <v>0</v>
      </c>
      <c r="P35" s="158">
        <f t="shared" si="1"/>
        <v>0</v>
      </c>
      <c r="Q35" s="158">
        <f t="shared" si="4"/>
        <v>0</v>
      </c>
      <c r="R35" s="158">
        <f t="shared" si="5"/>
        <v>0</v>
      </c>
      <c r="S35" s="158">
        <f t="shared" si="6"/>
        <v>0</v>
      </c>
      <c r="T35" s="158"/>
    </row>
    <row r="36" spans="1:20" ht="12.75">
      <c r="A36" s="15">
        <v>13</v>
      </c>
      <c r="B36">
        <f>Data_File!D37</f>
        <v>35</v>
      </c>
      <c r="C36">
        <f>Data_File!E37</f>
        <v>425</v>
      </c>
      <c r="D36" s="5">
        <f>Data_File!I37</f>
        <v>17.86</v>
      </c>
      <c r="E36" s="5">
        <f>(D36+C!E$8*I36)/(1+C!E$8)</f>
        <v>40.411321055714865</v>
      </c>
      <c r="F36" s="5">
        <f t="shared" si="2"/>
        <v>60.527874746151106</v>
      </c>
      <c r="G36" s="5">
        <v>0</v>
      </c>
      <c r="H36" s="5">
        <f>C!P33</f>
        <v>60.527874746151106</v>
      </c>
      <c r="I36" s="5">
        <f>C!Q33</f>
        <v>47.78742535059194</v>
      </c>
      <c r="J36" s="5">
        <f>C!R33</f>
        <v>99.479867997235</v>
      </c>
      <c r="M36" s="158">
        <f t="shared" si="3"/>
        <v>0</v>
      </c>
      <c r="N36" s="158">
        <f t="shared" si="1"/>
        <v>0</v>
      </c>
      <c r="O36" s="158">
        <f t="shared" si="1"/>
        <v>0</v>
      </c>
      <c r="P36" s="158">
        <f t="shared" si="1"/>
        <v>0</v>
      </c>
      <c r="Q36" s="158">
        <f t="shared" si="4"/>
        <v>0</v>
      </c>
      <c r="R36" s="158">
        <f t="shared" si="5"/>
        <v>0</v>
      </c>
      <c r="S36" s="158">
        <f t="shared" si="6"/>
        <v>0</v>
      </c>
      <c r="T36" s="158"/>
    </row>
    <row r="37" spans="1:20" ht="12.75">
      <c r="A37" s="15">
        <v>14</v>
      </c>
      <c r="B37">
        <f>Data_File!D38</f>
        <v>48</v>
      </c>
      <c r="C37">
        <f>Data_File!E38</f>
        <v>300</v>
      </c>
      <c r="D37" s="5">
        <f>Data_File!I38</f>
        <v>15.27</v>
      </c>
      <c r="E37" s="5">
        <f>(D37+C!E$8*I37)/(1+C!E$8)</f>
        <v>31.686669218507156</v>
      </c>
      <c r="F37" s="5">
        <f t="shared" si="2"/>
        <v>51.77129961779691</v>
      </c>
      <c r="G37" s="5">
        <v>0</v>
      </c>
      <c r="H37" s="5">
        <f>C!P34</f>
        <v>51.77129961779691</v>
      </c>
      <c r="I37" s="5">
        <f>C!Q34</f>
        <v>37.05624663843043</v>
      </c>
      <c r="J37" s="5">
        <f>C!R34</f>
        <v>96.76034408128453</v>
      </c>
      <c r="M37" s="158">
        <f t="shared" si="3"/>
        <v>0</v>
      </c>
      <c r="N37" s="158">
        <f t="shared" si="1"/>
        <v>0</v>
      </c>
      <c r="O37" s="158">
        <f t="shared" si="1"/>
        <v>0</v>
      </c>
      <c r="P37" s="158">
        <f t="shared" si="1"/>
        <v>0</v>
      </c>
      <c r="Q37" s="158">
        <f t="shared" si="4"/>
        <v>0</v>
      </c>
      <c r="R37" s="158">
        <f t="shared" si="5"/>
        <v>0</v>
      </c>
      <c r="S37" s="158">
        <f t="shared" si="6"/>
        <v>0</v>
      </c>
      <c r="T37" s="158"/>
    </row>
    <row r="38" spans="1:20" ht="12.75">
      <c r="A38" s="15">
        <v>15</v>
      </c>
      <c r="B38">
        <f>Data_File!D39</f>
        <v>65</v>
      </c>
      <c r="C38">
        <f>Data_File!E39</f>
        <v>212</v>
      </c>
      <c r="D38" s="5">
        <f>Data_File!I39</f>
        <v>13.06</v>
      </c>
      <c r="E38" s="5">
        <f>(D38+C!E$8*I38)/(1+C!E$8)</f>
        <v>23.9681008090972</v>
      </c>
      <c r="F38" s="5">
        <f t="shared" si="2"/>
        <v>42.921295849436106</v>
      </c>
      <c r="G38" s="5">
        <v>0</v>
      </c>
      <c r="H38" s="5">
        <f>C!P35</f>
        <v>42.921295849436106</v>
      </c>
      <c r="I38" s="5">
        <f>C!Q35</f>
        <v>27.535931227020516</v>
      </c>
      <c r="J38" s="5">
        <f>C!R35</f>
        <v>89.95971657788284</v>
      </c>
      <c r="M38" s="158">
        <f t="shared" si="3"/>
        <v>0</v>
      </c>
      <c r="N38" s="158">
        <f t="shared" si="1"/>
        <v>0</v>
      </c>
      <c r="O38" s="158">
        <f t="shared" si="1"/>
        <v>0</v>
      </c>
      <c r="P38" s="158">
        <f t="shared" si="1"/>
        <v>0</v>
      </c>
      <c r="Q38" s="158">
        <f t="shared" si="4"/>
        <v>0</v>
      </c>
      <c r="R38" s="158">
        <f t="shared" si="5"/>
        <v>0</v>
      </c>
      <c r="S38" s="158">
        <f t="shared" si="6"/>
        <v>0</v>
      </c>
      <c r="T38" s="158"/>
    </row>
    <row r="39" spans="1:20" ht="12.75">
      <c r="A39" s="15">
        <v>16</v>
      </c>
      <c r="B39">
        <f>Data_File!D40</f>
        <v>100</v>
      </c>
      <c r="C39">
        <f>Data_File!E40</f>
        <v>150</v>
      </c>
      <c r="D39" s="5">
        <f>Data_File!I40</f>
        <v>11.18</v>
      </c>
      <c r="E39" s="5">
        <f>(D39+C!E$8*I39)/(1+C!E$8)</f>
        <v>18.217672448326063</v>
      </c>
      <c r="F39" s="5">
        <f t="shared" si="2"/>
        <v>35.18152485227806</v>
      </c>
      <c r="G39" s="5">
        <v>0</v>
      </c>
      <c r="H39" s="5">
        <f>C!P36</f>
        <v>35.18152485227806</v>
      </c>
      <c r="I39" s="5">
        <f>C!Q36</f>
        <v>20.519560033704614</v>
      </c>
      <c r="J39" s="5">
        <f>C!R36</f>
        <v>80.0082603094881</v>
      </c>
      <c r="M39" s="158">
        <f t="shared" si="3"/>
        <v>0</v>
      </c>
      <c r="N39" s="158">
        <f t="shared" si="1"/>
        <v>0</v>
      </c>
      <c r="O39" s="158">
        <f t="shared" si="1"/>
        <v>0</v>
      </c>
      <c r="P39" s="158">
        <f t="shared" si="1"/>
        <v>0</v>
      </c>
      <c r="Q39" s="158">
        <f t="shared" si="4"/>
        <v>0</v>
      </c>
      <c r="R39" s="158">
        <f t="shared" si="5"/>
        <v>0</v>
      </c>
      <c r="S39" s="158">
        <f t="shared" si="6"/>
        <v>149.96185206603025</v>
      </c>
      <c r="T39" s="158"/>
    </row>
    <row r="40" spans="1:20" ht="12.75">
      <c r="A40" s="15">
        <v>17</v>
      </c>
      <c r="B40">
        <f>Data_File!D41</f>
        <v>150</v>
      </c>
      <c r="C40">
        <f>Data_File!E41</f>
        <v>106</v>
      </c>
      <c r="D40" s="5">
        <f>Data_File!I41</f>
        <v>9.56</v>
      </c>
      <c r="E40" s="5">
        <f>(D40+C!E$8*I40)/(1+C!E$8)</f>
        <v>14.312368688335164</v>
      </c>
      <c r="F40" s="5">
        <f t="shared" si="2"/>
        <v>29.083277111950565</v>
      </c>
      <c r="G40" s="5">
        <v>0</v>
      </c>
      <c r="H40" s="5">
        <f>C!P37</f>
        <v>29.083277111950565</v>
      </c>
      <c r="I40" s="5">
        <f>C!Q37</f>
        <v>15.866777275143212</v>
      </c>
      <c r="J40" s="5">
        <f>C!R37</f>
        <v>69.49072244317367</v>
      </c>
      <c r="M40" s="158">
        <f t="shared" si="3"/>
        <v>0</v>
      </c>
      <c r="N40" s="158">
        <f aca="true" t="shared" si="7" ref="N40:P43">IF(E40&gt;80,IF(E41&lt;80,$C41*EXP(LN(80/E41)*LN($C40/$C41)/LN(E40/E41)),0),0)</f>
        <v>0</v>
      </c>
      <c r="O40" s="158">
        <f t="shared" si="7"/>
        <v>0</v>
      </c>
      <c r="P40" s="158">
        <f t="shared" si="7"/>
        <v>0</v>
      </c>
      <c r="Q40" s="158">
        <f t="shared" si="4"/>
        <v>0</v>
      </c>
      <c r="R40" s="158">
        <f t="shared" si="5"/>
        <v>0</v>
      </c>
      <c r="S40" s="158">
        <f t="shared" si="6"/>
        <v>0</v>
      </c>
      <c r="T40" s="158"/>
    </row>
    <row r="41" spans="1:20" ht="12.75">
      <c r="A41" s="15">
        <v>18</v>
      </c>
      <c r="B41">
        <f>Data_File!D42</f>
        <v>200</v>
      </c>
      <c r="C41">
        <f>Data_File!E42</f>
        <v>75</v>
      </c>
      <c r="D41" s="5">
        <f>Data_File!I42</f>
        <v>8.18</v>
      </c>
      <c r="E41" s="5">
        <f>(D41+C!E$8*I41)/(1+C!E$8)</f>
        <v>11.72728041818241</v>
      </c>
      <c r="F41" s="5">
        <f t="shared" si="2"/>
        <v>24.56972954835853</v>
      </c>
      <c r="G41" s="5">
        <v>0</v>
      </c>
      <c r="H41" s="5">
        <f>C!P38</f>
        <v>24.56972954835853</v>
      </c>
      <c r="I41" s="5">
        <f>C!Q38</f>
        <v>12.887527760812386</v>
      </c>
      <c r="J41" s="5">
        <f>C!R38</f>
        <v>60.28629111210596</v>
      </c>
      <c r="M41" s="158">
        <f t="shared" si="3"/>
        <v>0</v>
      </c>
      <c r="N41" s="158">
        <f t="shared" si="7"/>
        <v>0</v>
      </c>
      <c r="O41" s="158">
        <f t="shared" si="7"/>
        <v>0</v>
      </c>
      <c r="P41" s="158">
        <f t="shared" si="7"/>
        <v>0</v>
      </c>
      <c r="Q41" s="158">
        <f t="shared" si="4"/>
        <v>0</v>
      </c>
      <c r="R41" s="158">
        <f t="shared" si="5"/>
        <v>0</v>
      </c>
      <c r="S41" s="158">
        <f t="shared" si="6"/>
        <v>0</v>
      </c>
      <c r="T41" s="158"/>
    </row>
    <row r="42" spans="1:20" ht="12.75">
      <c r="A42" s="15">
        <v>19</v>
      </c>
      <c r="B42">
        <f>Data_File!D43</f>
        <v>270</v>
      </c>
      <c r="C42">
        <f>Data_File!E43</f>
        <v>53</v>
      </c>
      <c r="D42" s="5">
        <f>Data_File!I43</f>
        <v>7</v>
      </c>
      <c r="E42" s="5">
        <f>(D42+C!E$8*I42)/(1+C!E$8)</f>
        <v>9.949413635157297</v>
      </c>
      <c r="F42" s="5">
        <f t="shared" si="2"/>
        <v>21.24277041549928</v>
      </c>
      <c r="G42" s="5">
        <v>0</v>
      </c>
      <c r="H42" s="5">
        <f>C!P39</f>
        <v>21.24277041549928</v>
      </c>
      <c r="I42" s="5">
        <f>C!Q39</f>
        <v>10.914110227782839</v>
      </c>
      <c r="J42" s="5">
        <f>C!R39</f>
        <v>52.82108366282505</v>
      </c>
      <c r="M42" s="158">
        <f t="shared" si="3"/>
        <v>0</v>
      </c>
      <c r="N42" s="158">
        <f t="shared" si="7"/>
        <v>0</v>
      </c>
      <c r="O42" s="158">
        <f t="shared" si="7"/>
        <v>0</v>
      </c>
      <c r="P42" s="158">
        <f t="shared" si="7"/>
        <v>0</v>
      </c>
      <c r="Q42" s="158">
        <f t="shared" si="4"/>
        <v>0</v>
      </c>
      <c r="R42" s="158">
        <f t="shared" si="5"/>
        <v>0</v>
      </c>
      <c r="S42" s="158">
        <f t="shared" si="6"/>
        <v>0</v>
      </c>
      <c r="T42" s="158"/>
    </row>
    <row r="43" spans="1:20" ht="12.75">
      <c r="A43" s="15">
        <v>20</v>
      </c>
      <c r="B43">
        <f>Data_File!D44</f>
        <v>400</v>
      </c>
      <c r="C43">
        <f>Data_File!E44</f>
        <v>38</v>
      </c>
      <c r="D43" s="5">
        <f>Data_File!I44</f>
        <v>6.15</v>
      </c>
      <c r="E43" s="5">
        <f>(D43+C!E$8*I43)/(1+C!E$8)</f>
        <v>8.739726520912665</v>
      </c>
      <c r="F43" s="5">
        <f t="shared" si="2"/>
        <v>18.840914596375455</v>
      </c>
      <c r="G43" s="5">
        <v>0</v>
      </c>
      <c r="H43" s="5">
        <f>C!P40</f>
        <v>18.840914596375455</v>
      </c>
      <c r="I43" s="5">
        <f>C!Q40</f>
        <v>9.5867763618629</v>
      </c>
      <c r="J43" s="5">
        <f>C!R40</f>
        <v>47.13403981227055</v>
      </c>
      <c r="M43" s="158">
        <f t="shared" si="3"/>
        <v>0</v>
      </c>
      <c r="N43" s="158">
        <f t="shared" si="7"/>
        <v>0</v>
      </c>
      <c r="O43" s="158">
        <f t="shared" si="7"/>
        <v>0</v>
      </c>
      <c r="P43" s="158">
        <f t="shared" si="7"/>
        <v>0</v>
      </c>
      <c r="Q43" s="158">
        <f t="shared" si="4"/>
        <v>0</v>
      </c>
      <c r="R43" s="158">
        <f t="shared" si="5"/>
        <v>0</v>
      </c>
      <c r="S43" s="158">
        <f t="shared" si="6"/>
        <v>0</v>
      </c>
      <c r="T43" s="158"/>
    </row>
    <row r="44" spans="2:20" ht="12.75">
      <c r="B44" s="9"/>
      <c r="C44" s="9"/>
      <c r="D44" s="11"/>
      <c r="E44" s="9"/>
      <c r="F44" s="9"/>
      <c r="G44" s="9"/>
      <c r="H44" s="9"/>
      <c r="I44" s="9"/>
      <c r="J44" s="9"/>
      <c r="M44" s="158"/>
      <c r="N44" s="158"/>
      <c r="O44" s="158"/>
      <c r="P44" s="158"/>
      <c r="Q44" s="158"/>
      <c r="R44" s="158"/>
      <c r="S44" s="158"/>
      <c r="T44" s="158"/>
    </row>
    <row r="45" spans="2:20" ht="18" customHeight="1">
      <c r="B45" s="12" t="s">
        <v>100</v>
      </c>
      <c r="C45" s="12"/>
      <c r="D45" s="13">
        <f>M45</f>
        <v>9794.593204856787</v>
      </c>
      <c r="E45" s="13">
        <f aca="true" t="shared" si="8" ref="E45:J45">N45</f>
        <v>4679.402004174648</v>
      </c>
      <c r="F45" s="13">
        <f t="shared" si="8"/>
        <v>1273.4936136530846</v>
      </c>
      <c r="G45" s="13">
        <f t="shared" si="8"/>
        <v>0</v>
      </c>
      <c r="H45" s="13">
        <f t="shared" si="8"/>
        <v>1273.4936136530846</v>
      </c>
      <c r="I45" s="13">
        <f t="shared" si="8"/>
        <v>2021.497212443238</v>
      </c>
      <c r="J45" s="14">
        <f t="shared" si="8"/>
        <v>149.96185206603025</v>
      </c>
      <c r="M45" s="158">
        <f>SUM(M24:M43)</f>
        <v>9794.593204856787</v>
      </c>
      <c r="N45" s="158">
        <f>SUM(N24:N43)</f>
        <v>4679.402004174648</v>
      </c>
      <c r="O45" s="158">
        <f>SUM(O24:O43)</f>
        <v>1273.4936136530846</v>
      </c>
      <c r="P45" s="158">
        <f>SUM(P24:P43)</f>
        <v>0</v>
      </c>
      <c r="Q45" s="158">
        <f>SUM(Q25:Q43)</f>
        <v>1273.4936136530846</v>
      </c>
      <c r="R45" s="158">
        <f>SUM(R25:R43)</f>
        <v>2021.497212443238</v>
      </c>
      <c r="S45" s="158">
        <f>SUM(S25:S43)</f>
        <v>149.96185206603025</v>
      </c>
      <c r="T45" s="158"/>
    </row>
    <row r="46" spans="13:20" ht="12.75">
      <c r="M46" s="158"/>
      <c r="N46" s="158"/>
      <c r="O46" s="158"/>
      <c r="P46" s="158"/>
      <c r="Q46" s="158"/>
      <c r="R46" s="158"/>
      <c r="S46" s="158"/>
      <c r="T46" s="158"/>
    </row>
    <row r="47" spans="2:6" ht="12.75">
      <c r="B47" t="s">
        <v>98</v>
      </c>
      <c r="E47" s="5">
        <f>Data_File!L15/Data_File!R15</f>
        <v>10.790349010260003</v>
      </c>
      <c r="F47" s="7" t="s">
        <v>193</v>
      </c>
    </row>
    <row r="48" spans="2:6" ht="12.75">
      <c r="B48" t="s">
        <v>99</v>
      </c>
      <c r="E48" s="5">
        <f>E47/10/(1/J45^0.5-1/D45^0.5)</f>
        <v>15.07964364693317</v>
      </c>
      <c r="F48" s="7" t="s">
        <v>194</v>
      </c>
    </row>
    <row r="49" spans="2:10" ht="19.5">
      <c r="B49" s="119"/>
      <c r="E49" s="244" t="s">
        <v>212</v>
      </c>
      <c r="F49" s="244"/>
      <c r="G49" s="244"/>
      <c r="I49" s="25" t="str">
        <f>I1</f>
        <v>Sample:  </v>
      </c>
      <c r="J49" s="190">
        <f>J1</f>
        <v>1</v>
      </c>
    </row>
    <row r="50" spans="2:10" ht="15.75">
      <c r="B50" s="248" t="str">
        <f>B2</f>
        <v>BALLBAL</v>
      </c>
      <c r="C50" s="248"/>
      <c r="D50" s="248"/>
      <c r="E50" s="248"/>
      <c r="F50" s="248"/>
      <c r="G50" s="248"/>
      <c r="H50" s="248"/>
      <c r="I50" s="248"/>
      <c r="J50" s="248"/>
    </row>
    <row r="51" spans="2:10" ht="12.75">
      <c r="B51" s="244" t="str">
        <f>B3</f>
        <v>Grinding Circuit Mass Balance Estimator</v>
      </c>
      <c r="C51" s="244"/>
      <c r="D51" s="244"/>
      <c r="E51" s="244"/>
      <c r="F51" s="244"/>
      <c r="G51" s="244"/>
      <c r="H51" s="244"/>
      <c r="I51" s="244"/>
      <c r="J51" s="244"/>
    </row>
    <row r="53" spans="2:10" ht="12.75">
      <c r="B53" t="str">
        <f>B5</f>
        <v>Remarks:</v>
      </c>
      <c r="C53" s="65" t="str">
        <f>C5</f>
        <v> Base Case Example</v>
      </c>
      <c r="D53" s="66"/>
      <c r="E53" s="66"/>
      <c r="F53" s="66"/>
      <c r="G53" s="66"/>
      <c r="H53" s="66"/>
      <c r="I53" s="66"/>
      <c r="J53" s="67"/>
    </row>
    <row r="54" spans="3:10" ht="12.75">
      <c r="C54" s="68" t="str">
        <f>C6</f>
        <v> </v>
      </c>
      <c r="D54" s="69"/>
      <c r="E54" s="69"/>
      <c r="F54" s="69"/>
      <c r="G54" s="69"/>
      <c r="H54" s="69"/>
      <c r="I54" s="69"/>
      <c r="J54" s="70"/>
    </row>
    <row r="56" spans="2:10" ht="16.5">
      <c r="B56" s="245" t="s">
        <v>88</v>
      </c>
      <c r="C56" s="245"/>
      <c r="D56" s="245"/>
      <c r="E56" s="245"/>
      <c r="F56" s="245"/>
      <c r="G56" s="245"/>
      <c r="H56" s="245"/>
      <c r="I56" s="245"/>
      <c r="J56" s="245"/>
    </row>
    <row r="58" spans="2:7" ht="12.75">
      <c r="B58" t="s">
        <v>65</v>
      </c>
      <c r="D58">
        <f>Data_File!D18</f>
        <v>10</v>
      </c>
      <c r="G58" t="s">
        <v>67</v>
      </c>
    </row>
    <row r="59" spans="2:10" ht="12.75">
      <c r="B59" t="s">
        <v>69</v>
      </c>
      <c r="G59" s="2"/>
      <c r="H59" s="7" t="s">
        <v>70</v>
      </c>
      <c r="J59" s="4">
        <f>H16</f>
        <v>1565.8403152984838</v>
      </c>
    </row>
    <row r="60" spans="3:10" ht="12.75">
      <c r="C60" s="7" t="s">
        <v>48</v>
      </c>
      <c r="D60" s="5">
        <f>Data_File!E18</f>
        <v>20</v>
      </c>
      <c r="E60" s="2"/>
      <c r="H60" s="7" t="s">
        <v>71</v>
      </c>
      <c r="J60" s="4">
        <f>C!E11</f>
        <v>7.977138232624562</v>
      </c>
    </row>
    <row r="61" spans="3:10" ht="12.75">
      <c r="C61" s="7" t="s">
        <v>66</v>
      </c>
      <c r="D61" s="5">
        <f>Data_File!F18</f>
        <v>75</v>
      </c>
      <c r="H61" s="7" t="s">
        <v>68</v>
      </c>
      <c r="J61" s="4">
        <f>C!E12</f>
        <v>179.7774737743032</v>
      </c>
    </row>
    <row r="62" spans="3:10" ht="12.75">
      <c r="C62" s="7" t="s">
        <v>62</v>
      </c>
      <c r="D62" s="5">
        <f>Data_File!G18</f>
        <v>3.5</v>
      </c>
      <c r="H62" s="7" t="s">
        <v>72</v>
      </c>
      <c r="J62" s="4">
        <f>C!E13*100</f>
        <v>39.16159238543365</v>
      </c>
    </row>
    <row r="63" spans="3:10" ht="12.75">
      <c r="C63" s="7" t="s">
        <v>63</v>
      </c>
      <c r="D63" s="5">
        <f>Data_File!H18</f>
        <v>7.5</v>
      </c>
      <c r="H63" s="7" t="s">
        <v>73</v>
      </c>
      <c r="J63" s="4">
        <f>C!E14*100</f>
        <v>37.20930536646015</v>
      </c>
    </row>
    <row r="64" spans="3:10" ht="12.75">
      <c r="C64" s="7" t="s">
        <v>64</v>
      </c>
      <c r="D64" s="5">
        <f>Data_File!I18</f>
        <v>3.6695075563417805</v>
      </c>
      <c r="H64" s="7" t="s">
        <v>43</v>
      </c>
      <c r="J64" s="5">
        <f>C!E16</f>
        <v>1.6194549377468341</v>
      </c>
    </row>
    <row r="65" spans="2:10" ht="12.75">
      <c r="B65" s="7" t="s">
        <v>59</v>
      </c>
      <c r="D65" s="5">
        <f>Data_File!R17</f>
        <v>2.8</v>
      </c>
      <c r="H65" t="s">
        <v>74</v>
      </c>
      <c r="J65" s="6">
        <f>C!E8*100</f>
        <v>305.73484530821247</v>
      </c>
    </row>
    <row r="67" spans="2:10" ht="15.75">
      <c r="B67" s="248" t="s">
        <v>87</v>
      </c>
      <c r="C67" s="248"/>
      <c r="D67" s="248"/>
      <c r="E67" s="248"/>
      <c r="F67" s="248"/>
      <c r="G67" s="248"/>
      <c r="H67" s="248"/>
      <c r="I67" s="248"/>
      <c r="J67" s="248"/>
    </row>
    <row r="68" spans="5:10" ht="12.75">
      <c r="E68" s="9"/>
      <c r="F68" s="9"/>
      <c r="G68" s="9"/>
      <c r="I68" s="9"/>
      <c r="J68" s="9"/>
    </row>
    <row r="69" spans="1:10" ht="15" customHeight="1">
      <c r="A69" s="19"/>
      <c r="B69" s="19"/>
      <c r="C69" s="19"/>
      <c r="D69" s="19"/>
      <c r="E69" s="250" t="s">
        <v>77</v>
      </c>
      <c r="F69" s="250"/>
      <c r="G69" s="250"/>
      <c r="H69" s="19"/>
      <c r="I69" s="247" t="s">
        <v>76</v>
      </c>
      <c r="J69" s="247"/>
    </row>
    <row r="70" spans="1:10" ht="15" customHeight="1">
      <c r="A70" s="2" t="str">
        <f>A22</f>
        <v>i</v>
      </c>
      <c r="B70" s="23" t="str">
        <f>B22</f>
        <v>Mesh</v>
      </c>
      <c r="C70" s="23" t="str">
        <f>C22</f>
        <v>Opening</v>
      </c>
      <c r="D70" s="23" t="str">
        <f>Data_File!F23</f>
        <v>Mid-Size</v>
      </c>
      <c r="E70" s="22" t="s">
        <v>5</v>
      </c>
      <c r="F70" s="22" t="s">
        <v>9</v>
      </c>
      <c r="G70" s="22" t="s">
        <v>10</v>
      </c>
      <c r="H70" s="19"/>
      <c r="I70" s="22" t="s">
        <v>58</v>
      </c>
      <c r="J70" s="22" t="s">
        <v>75</v>
      </c>
    </row>
    <row r="71" spans="1:10" ht="12.75">
      <c r="A71" s="3"/>
      <c r="B71" s="3"/>
      <c r="C71" s="3"/>
      <c r="D71" s="3"/>
      <c r="E71" s="3"/>
      <c r="F71" s="3"/>
      <c r="G71" s="3"/>
      <c r="I71" s="3"/>
      <c r="J71" s="3"/>
    </row>
    <row r="72" spans="1:10" ht="12.75">
      <c r="A72" s="15">
        <f aca="true" t="shared" si="9" ref="A72:B91">A24</f>
        <v>1</v>
      </c>
      <c r="B72">
        <f t="shared" si="9"/>
        <v>1.05</v>
      </c>
      <c r="C72">
        <f aca="true" t="shared" si="10" ref="C72:C91">C24</f>
        <v>25400</v>
      </c>
      <c r="D72" s="6">
        <f>Data_File!F26</f>
        <v>21997.04525612474</v>
      </c>
      <c r="E72" s="5">
        <f>H24</f>
        <v>100</v>
      </c>
      <c r="F72" s="5">
        <f>I24</f>
        <v>100</v>
      </c>
      <c r="G72" s="5">
        <f>J24</f>
        <v>100.00000000000001</v>
      </c>
      <c r="I72" s="1">
        <f>C!E22</f>
        <v>0.9999109062154978</v>
      </c>
      <c r="J72" s="1">
        <f aca="true" t="shared" si="11" ref="J72:J91">1-EXP(-0.693*(D72/$J$61)^$J$64)</f>
        <v>1</v>
      </c>
    </row>
    <row r="73" spans="1:10" ht="12.75">
      <c r="A73" s="15">
        <f t="shared" si="9"/>
        <v>2</v>
      </c>
      <c r="B73">
        <f t="shared" si="9"/>
        <v>0.742</v>
      </c>
      <c r="C73">
        <f t="shared" si="10"/>
        <v>19050</v>
      </c>
      <c r="D73" s="6">
        <f>Data_File!F27</f>
        <v>15554.259866673181</v>
      </c>
      <c r="E73" s="5">
        <f aca="true" t="shared" si="12" ref="E73:E91">H25</f>
        <v>100</v>
      </c>
      <c r="F73" s="5">
        <f aca="true" t="shared" si="13" ref="F73:F91">I25</f>
        <v>100</v>
      </c>
      <c r="G73" s="5">
        <f aca="true" t="shared" si="14" ref="G73:G91">J25</f>
        <v>100.00000000000001</v>
      </c>
      <c r="I73" s="1">
        <f>C!E23</f>
        <v>0.9999109062154978</v>
      </c>
      <c r="J73" s="1">
        <f t="shared" si="11"/>
        <v>1</v>
      </c>
    </row>
    <row r="74" spans="1:10" ht="12.75">
      <c r="A74" s="15">
        <f t="shared" si="9"/>
        <v>3</v>
      </c>
      <c r="B74">
        <f t="shared" si="9"/>
        <v>0.525</v>
      </c>
      <c r="C74">
        <f t="shared" si="10"/>
        <v>12700</v>
      </c>
      <c r="D74" s="6">
        <f>Data_File!F28</f>
        <v>10984.079387914127</v>
      </c>
      <c r="E74" s="5">
        <f t="shared" si="12"/>
        <v>98.88023526951574</v>
      </c>
      <c r="F74" s="5">
        <f t="shared" si="13"/>
        <v>98.51411411256028</v>
      </c>
      <c r="G74" s="5">
        <f t="shared" si="14"/>
        <v>99.99959522237413</v>
      </c>
      <c r="I74" s="1">
        <f>C!E24</f>
        <v>0.9999109062154978</v>
      </c>
      <c r="J74" s="1">
        <f t="shared" si="11"/>
        <v>1</v>
      </c>
    </row>
    <row r="75" spans="1:10" ht="12.75">
      <c r="A75" s="15">
        <f t="shared" si="9"/>
        <v>4</v>
      </c>
      <c r="B75">
        <f t="shared" si="9"/>
        <v>0.371</v>
      </c>
      <c r="C75">
        <f t="shared" si="10"/>
        <v>9500</v>
      </c>
      <c r="D75" s="6">
        <f>Data_File!F29</f>
        <v>7978.095010715278</v>
      </c>
      <c r="E75" s="5">
        <f t="shared" si="12"/>
        <v>96.32361001361686</v>
      </c>
      <c r="F75" s="5">
        <f t="shared" si="13"/>
        <v>95.12156808588806</v>
      </c>
      <c r="G75" s="5">
        <f t="shared" si="14"/>
        <v>99.99867104189836</v>
      </c>
      <c r="I75" s="1">
        <f>C!E25</f>
        <v>0.9999109062154978</v>
      </c>
      <c r="J75" s="1">
        <f t="shared" si="11"/>
        <v>1</v>
      </c>
    </row>
    <row r="76" spans="1:10" ht="12.75">
      <c r="A76" s="15">
        <f t="shared" si="9"/>
        <v>5</v>
      </c>
      <c r="B76">
        <f t="shared" si="9"/>
        <v>3</v>
      </c>
      <c r="C76">
        <f t="shared" si="10"/>
        <v>6700</v>
      </c>
      <c r="D76" s="6">
        <f>Data_File!F30</f>
        <v>5641.365083027334</v>
      </c>
      <c r="E76" s="5">
        <f t="shared" si="12"/>
        <v>93.81219087253714</v>
      </c>
      <c r="F76" s="5">
        <f t="shared" si="13"/>
        <v>91.78900888163228</v>
      </c>
      <c r="G76" s="5">
        <f t="shared" si="14"/>
        <v>99.99776320273371</v>
      </c>
      <c r="I76" s="1">
        <f>C!E26</f>
        <v>0.9999109062154978</v>
      </c>
      <c r="J76" s="1">
        <f t="shared" si="11"/>
        <v>1</v>
      </c>
    </row>
    <row r="77" spans="1:10" ht="12.75">
      <c r="A77" s="15">
        <f t="shared" si="9"/>
        <v>6</v>
      </c>
      <c r="B77">
        <f t="shared" si="9"/>
        <v>4</v>
      </c>
      <c r="C77">
        <f t="shared" si="10"/>
        <v>4750</v>
      </c>
      <c r="D77" s="6">
        <f>Data_File!F31</f>
        <v>3989.047505357639</v>
      </c>
      <c r="E77" s="5">
        <f t="shared" si="12"/>
        <v>91.5318694659079</v>
      </c>
      <c r="F77" s="5">
        <f t="shared" si="13"/>
        <v>88.76310772159867</v>
      </c>
      <c r="G77" s="5">
        <f t="shared" si="14"/>
        <v>99.99693890182468</v>
      </c>
      <c r="I77" s="1">
        <f>C!E27</f>
        <v>0.9999109062154978</v>
      </c>
      <c r="J77" s="1">
        <f t="shared" si="11"/>
        <v>1</v>
      </c>
    </row>
    <row r="78" spans="1:10" ht="12.75">
      <c r="A78" s="15">
        <f t="shared" si="9"/>
        <v>7</v>
      </c>
      <c r="B78">
        <f t="shared" si="9"/>
        <v>6</v>
      </c>
      <c r="C78">
        <f t="shared" si="10"/>
        <v>3350</v>
      </c>
      <c r="D78" s="6">
        <f>Data_File!F32</f>
        <v>2811.761014026619</v>
      </c>
      <c r="E78" s="5">
        <f t="shared" si="12"/>
        <v>89.15752030478701</v>
      </c>
      <c r="F78" s="5">
        <f t="shared" si="13"/>
        <v>85.61243525057156</v>
      </c>
      <c r="G78" s="5">
        <f t="shared" si="14"/>
        <v>99.99608061133713</v>
      </c>
      <c r="I78" s="1">
        <f>C!E28</f>
        <v>0.9999109062154978</v>
      </c>
      <c r="J78" s="1">
        <f t="shared" si="11"/>
        <v>1</v>
      </c>
    </row>
    <row r="79" spans="1:10" ht="12.75">
      <c r="A79" s="15">
        <f t="shared" si="9"/>
        <v>8</v>
      </c>
      <c r="B79">
        <f t="shared" si="9"/>
        <v>8</v>
      </c>
      <c r="C79">
        <f t="shared" si="10"/>
        <v>2360</v>
      </c>
      <c r="D79" s="6">
        <f>Data_File!F33</f>
        <v>2002.9977533686852</v>
      </c>
      <c r="E79" s="5">
        <f t="shared" si="12"/>
        <v>86.4378940766412</v>
      </c>
      <c r="F79" s="5">
        <f t="shared" si="13"/>
        <v>82.00359303443469</v>
      </c>
      <c r="G79" s="5">
        <f t="shared" si="14"/>
        <v>99.99509750853173</v>
      </c>
      <c r="I79" s="1">
        <f>C!E29</f>
        <v>0.9999109062154972</v>
      </c>
      <c r="J79" s="1">
        <f t="shared" si="11"/>
        <v>0.9999999999999988</v>
      </c>
    </row>
    <row r="80" spans="1:10" ht="12.75">
      <c r="A80" s="15">
        <f t="shared" si="9"/>
        <v>9</v>
      </c>
      <c r="B80">
        <f t="shared" si="9"/>
        <v>10</v>
      </c>
      <c r="C80">
        <f t="shared" si="10"/>
        <v>1700</v>
      </c>
      <c r="D80" s="6">
        <f>Data_File!F34</f>
        <v>1416.333294108417</v>
      </c>
      <c r="E80" s="5">
        <f t="shared" si="12"/>
        <v>83.28243812128906</v>
      </c>
      <c r="F80" s="5">
        <f t="shared" si="13"/>
        <v>77.81642108228037</v>
      </c>
      <c r="G80" s="5">
        <f t="shared" si="14"/>
        <v>99.99395686002278</v>
      </c>
      <c r="I80" s="1">
        <f>C!E30</f>
        <v>0.9999109043028553</v>
      </c>
      <c r="J80" s="1">
        <f t="shared" si="11"/>
        <v>0.9999999969535073</v>
      </c>
    </row>
    <row r="81" spans="1:10" ht="12.75">
      <c r="A81" s="15">
        <f t="shared" si="9"/>
        <v>10</v>
      </c>
      <c r="B81">
        <f t="shared" si="9"/>
        <v>14</v>
      </c>
      <c r="C81">
        <f t="shared" si="10"/>
        <v>1180</v>
      </c>
      <c r="D81" s="6">
        <f>Data_File!F35</f>
        <v>1001.4988766843426</v>
      </c>
      <c r="E81" s="5">
        <f t="shared" si="12"/>
        <v>79.15535092984342</v>
      </c>
      <c r="F81" s="5">
        <f t="shared" si="13"/>
        <v>72.33993085596283</v>
      </c>
      <c r="G81" s="5">
        <f t="shared" si="14"/>
        <v>99.9924649498271</v>
      </c>
      <c r="I81" s="1">
        <f>C!E31</f>
        <v>0.9999022080017159</v>
      </c>
      <c r="J81" s="1">
        <f t="shared" si="11"/>
        <v>0.9999861453226495</v>
      </c>
    </row>
    <row r="82" spans="1:10" ht="12.75">
      <c r="A82" s="15">
        <f t="shared" si="9"/>
        <v>11</v>
      </c>
      <c r="B82">
        <f t="shared" si="9"/>
        <v>20</v>
      </c>
      <c r="C82">
        <f t="shared" si="10"/>
        <v>850</v>
      </c>
      <c r="D82" s="6">
        <f>Data_File!F36</f>
        <v>714.142842854285</v>
      </c>
      <c r="E82" s="5">
        <f t="shared" si="12"/>
        <v>74.29792341001284</v>
      </c>
      <c r="F82" s="5">
        <f t="shared" si="13"/>
        <v>65.89436240857796</v>
      </c>
      <c r="G82" s="5">
        <f t="shared" si="14"/>
        <v>99.99053763813104</v>
      </c>
      <c r="I82" s="1">
        <f>C!E32</f>
        <v>0.9989377403327147</v>
      </c>
      <c r="J82" s="1">
        <f t="shared" si="11"/>
        <v>0.9984499232080943</v>
      </c>
    </row>
    <row r="83" spans="1:10" ht="12.75">
      <c r="A83" s="15">
        <f t="shared" si="9"/>
        <v>12</v>
      </c>
      <c r="B83">
        <f t="shared" si="9"/>
        <v>28</v>
      </c>
      <c r="C83">
        <f t="shared" si="10"/>
        <v>600</v>
      </c>
      <c r="D83" s="6">
        <f>Data_File!F37</f>
        <v>504.9752469181039</v>
      </c>
      <c r="E83" s="5">
        <f t="shared" si="12"/>
        <v>68.0985855532371</v>
      </c>
      <c r="F83" s="5">
        <f t="shared" si="13"/>
        <v>57.676079355309554</v>
      </c>
      <c r="G83" s="5">
        <f t="shared" si="14"/>
        <v>99.96381875470972</v>
      </c>
      <c r="I83" s="1">
        <f>C!E33</f>
        <v>0.9842448620682409</v>
      </c>
      <c r="J83" s="1">
        <f t="shared" si="11"/>
        <v>0.9750468323199092</v>
      </c>
    </row>
    <row r="84" spans="1:10" ht="12.75">
      <c r="A84" s="15">
        <f t="shared" si="9"/>
        <v>13</v>
      </c>
      <c r="B84">
        <f t="shared" si="9"/>
        <v>35</v>
      </c>
      <c r="C84">
        <f t="shared" si="10"/>
        <v>425</v>
      </c>
      <c r="D84" s="6">
        <f>Data_File!F38</f>
        <v>357.0714214271425</v>
      </c>
      <c r="E84" s="5">
        <f t="shared" si="12"/>
        <v>60.527874746151106</v>
      </c>
      <c r="F84" s="5">
        <f t="shared" si="13"/>
        <v>47.78742535059194</v>
      </c>
      <c r="G84" s="5">
        <f t="shared" si="14"/>
        <v>99.479867997235</v>
      </c>
      <c r="I84" s="1">
        <f>C!E34</f>
        <v>0.9234550934931933</v>
      </c>
      <c r="J84" s="1">
        <f t="shared" si="11"/>
        <v>0.8782197536886602</v>
      </c>
    </row>
    <row r="85" spans="1:10" ht="12.75">
      <c r="A85" s="15">
        <f t="shared" si="9"/>
        <v>14</v>
      </c>
      <c r="B85">
        <f t="shared" si="9"/>
        <v>48</v>
      </c>
      <c r="C85">
        <f t="shared" si="10"/>
        <v>300</v>
      </c>
      <c r="D85" s="6">
        <f>Data_File!F39</f>
        <v>252.19040425836982</v>
      </c>
      <c r="E85" s="5">
        <f t="shared" si="12"/>
        <v>51.77129961779691</v>
      </c>
      <c r="F85" s="5">
        <f t="shared" si="13"/>
        <v>37.05624663843043</v>
      </c>
      <c r="G85" s="5">
        <f t="shared" si="14"/>
        <v>96.76034408128453</v>
      </c>
      <c r="I85" s="1">
        <f>C!E35</f>
        <v>0.8106073047595266</v>
      </c>
      <c r="J85" s="1">
        <f t="shared" si="11"/>
        <v>0.6984736883686742</v>
      </c>
    </row>
    <row r="86" spans="1:10" ht="12.75">
      <c r="A86" s="15">
        <f t="shared" si="9"/>
        <v>15</v>
      </c>
      <c r="B86">
        <f t="shared" si="9"/>
        <v>65</v>
      </c>
      <c r="C86">
        <f t="shared" si="10"/>
        <v>212</v>
      </c>
      <c r="D86" s="6">
        <f>Data_File!F40</f>
        <v>178.3255450012701</v>
      </c>
      <c r="E86" s="5">
        <f t="shared" si="12"/>
        <v>42.921295849436106</v>
      </c>
      <c r="F86" s="5">
        <f t="shared" si="13"/>
        <v>27.535931227020516</v>
      </c>
      <c r="G86" s="5">
        <f t="shared" si="14"/>
        <v>89.95971657788284</v>
      </c>
      <c r="I86" s="1">
        <f>C!E36</f>
        <v>0.6831043918035733</v>
      </c>
      <c r="J86" s="1">
        <f t="shared" si="11"/>
        <v>0.49538466750395327</v>
      </c>
    </row>
    <row r="87" spans="1:10" ht="12.75">
      <c r="A87" s="15">
        <f t="shared" si="9"/>
        <v>16</v>
      </c>
      <c r="B87">
        <f t="shared" si="9"/>
        <v>100</v>
      </c>
      <c r="C87">
        <f t="shared" si="10"/>
        <v>150</v>
      </c>
      <c r="D87" s="6">
        <f>Data_File!F41</f>
        <v>126.09520212918491</v>
      </c>
      <c r="E87" s="5">
        <f t="shared" si="12"/>
        <v>35.18152485227806</v>
      </c>
      <c r="F87" s="5">
        <f t="shared" si="13"/>
        <v>20.519560033704614</v>
      </c>
      <c r="G87" s="5">
        <f t="shared" si="14"/>
        <v>80.0082603094881</v>
      </c>
      <c r="I87" s="1">
        <f>C!E37</f>
        <v>0.5749238745202124</v>
      </c>
      <c r="J87" s="1">
        <f t="shared" si="11"/>
        <v>0.3230727193110007</v>
      </c>
    </row>
    <row r="88" spans="1:10" ht="12.75">
      <c r="A88" s="15">
        <f t="shared" si="9"/>
        <v>17</v>
      </c>
      <c r="B88">
        <f t="shared" si="9"/>
        <v>150</v>
      </c>
      <c r="C88">
        <f t="shared" si="10"/>
        <v>106</v>
      </c>
      <c r="D88" s="6">
        <f>Data_File!F42</f>
        <v>89.16277250063504</v>
      </c>
      <c r="E88" s="5">
        <f t="shared" si="12"/>
        <v>29.083277111950565</v>
      </c>
      <c r="F88" s="5">
        <f t="shared" si="13"/>
        <v>15.866777275143212</v>
      </c>
      <c r="G88" s="5">
        <f t="shared" si="14"/>
        <v>69.49072244317367</v>
      </c>
      <c r="I88" s="1">
        <f>C!E38</f>
        <v>0.49738362767544964</v>
      </c>
      <c r="J88" s="1">
        <f t="shared" si="11"/>
        <v>0.19956516607767383</v>
      </c>
    </row>
    <row r="89" spans="1:10" ht="12.75">
      <c r="A89" s="15">
        <f t="shared" si="9"/>
        <v>18</v>
      </c>
      <c r="B89">
        <f t="shared" si="9"/>
        <v>200</v>
      </c>
      <c r="C89">
        <f t="shared" si="10"/>
        <v>75</v>
      </c>
      <c r="D89" s="6">
        <f>Data_File!F43</f>
        <v>63.047601064592456</v>
      </c>
      <c r="E89" s="5">
        <f t="shared" si="12"/>
        <v>24.56972954835853</v>
      </c>
      <c r="F89" s="5">
        <f t="shared" si="13"/>
        <v>12.887527760812386</v>
      </c>
      <c r="G89" s="5">
        <f t="shared" si="14"/>
        <v>60.28629111210596</v>
      </c>
      <c r="I89" s="1">
        <f>C!E39</f>
        <v>0.44696564973066566</v>
      </c>
      <c r="J89" s="1">
        <f t="shared" si="11"/>
        <v>0.11925846925481354</v>
      </c>
    </row>
    <row r="90" spans="1:10" ht="12.75">
      <c r="A90" s="15">
        <f t="shared" si="9"/>
        <v>19</v>
      </c>
      <c r="B90">
        <f t="shared" si="9"/>
        <v>270</v>
      </c>
      <c r="C90">
        <f t="shared" si="10"/>
        <v>53</v>
      </c>
      <c r="D90" s="6">
        <f>Data_File!F44</f>
        <v>44.87761134463375</v>
      </c>
      <c r="E90" s="5">
        <f t="shared" si="12"/>
        <v>21.24277041549928</v>
      </c>
      <c r="F90" s="5">
        <f t="shared" si="13"/>
        <v>10.914110227782839</v>
      </c>
      <c r="G90" s="5">
        <f t="shared" si="14"/>
        <v>52.82108366282505</v>
      </c>
      <c r="I90" s="1">
        <f>C!E40</f>
        <v>0.41642411683103414</v>
      </c>
      <c r="J90" s="1">
        <f t="shared" si="11"/>
        <v>0.07061134529117075</v>
      </c>
    </row>
    <row r="91" spans="1:10" ht="12.75">
      <c r="A91" s="15">
        <f t="shared" si="9"/>
        <v>20</v>
      </c>
      <c r="B91" s="16">
        <f t="shared" si="9"/>
        <v>400</v>
      </c>
      <c r="C91" s="16">
        <f t="shared" si="10"/>
        <v>38</v>
      </c>
      <c r="D91" s="17">
        <f>Data_File!F45</f>
        <v>19</v>
      </c>
      <c r="E91" s="5">
        <f t="shared" si="12"/>
        <v>18.840914596375455</v>
      </c>
      <c r="F91" s="5">
        <f t="shared" si="13"/>
        <v>9.5867763618629</v>
      </c>
      <c r="G91" s="5">
        <f t="shared" si="14"/>
        <v>47.13403981227055</v>
      </c>
      <c r="I91" s="26">
        <f>C!E41</f>
        <v>0.38341866182655565</v>
      </c>
      <c r="J91" s="26">
        <f t="shared" si="11"/>
        <v>0.018039640185344985</v>
      </c>
    </row>
    <row r="92" spans="2:10" ht="12.75">
      <c r="B92" s="9"/>
      <c r="C92" s="9"/>
      <c r="D92" s="9"/>
      <c r="E92" s="9"/>
      <c r="F92" s="9"/>
      <c r="G92" s="9"/>
      <c r="I92" s="9"/>
      <c r="J92" s="9"/>
    </row>
    <row r="93" spans="2:10" ht="12.75">
      <c r="B93" t="s">
        <v>90</v>
      </c>
      <c r="E93" s="4">
        <f aca="true" t="shared" si="15" ref="E93:G99">H13</f>
        <v>1622.9393812328499</v>
      </c>
      <c r="F93" s="4">
        <f t="shared" si="15"/>
        <v>1222.9393812328499</v>
      </c>
      <c r="G93" s="4">
        <f t="shared" si="15"/>
        <v>400</v>
      </c>
      <c r="I93" s="249" t="s">
        <v>22</v>
      </c>
      <c r="J93" s="249"/>
    </row>
    <row r="94" spans="2:10" ht="12.75">
      <c r="B94" t="s">
        <v>91</v>
      </c>
      <c r="E94" s="4">
        <f t="shared" si="15"/>
        <v>986.219107715323</v>
      </c>
      <c r="F94" s="4">
        <f t="shared" si="15"/>
        <v>386.21910699073555</v>
      </c>
      <c r="G94" s="4">
        <f t="shared" si="15"/>
        <v>600.0000007245875</v>
      </c>
      <c r="I94" s="3" t="s">
        <v>23</v>
      </c>
      <c r="J94" s="1">
        <f>C!A7</f>
        <v>9.679604704055452</v>
      </c>
    </row>
    <row r="95" spans="2:10" ht="12.75">
      <c r="B95" t="s">
        <v>92</v>
      </c>
      <c r="E95" s="4">
        <f t="shared" si="15"/>
        <v>2609.158488948173</v>
      </c>
      <c r="F95" s="4">
        <f t="shared" si="15"/>
        <v>1609.1584882235854</v>
      </c>
      <c r="G95" s="4">
        <f t="shared" si="15"/>
        <v>1000.0000007245875</v>
      </c>
      <c r="I95" s="3" t="s">
        <v>24</v>
      </c>
      <c r="J95" s="1">
        <f>C!B7</f>
        <v>1.4010848848441233</v>
      </c>
    </row>
    <row r="96" spans="2:10" ht="12.75">
      <c r="B96" t="s">
        <v>93</v>
      </c>
      <c r="E96" s="4">
        <f t="shared" si="15"/>
        <v>1565.8403152984838</v>
      </c>
      <c r="F96" s="4">
        <f t="shared" si="15"/>
        <v>822.9831717167534</v>
      </c>
      <c r="G96" s="4">
        <f t="shared" si="15"/>
        <v>742.8571435817304</v>
      </c>
      <c r="I96" s="3" t="s">
        <v>25</v>
      </c>
      <c r="J96" s="1">
        <f>C!C7</f>
        <v>54.94997691696283</v>
      </c>
    </row>
    <row r="97" spans="2:10" ht="12.75">
      <c r="B97" t="s">
        <v>94</v>
      </c>
      <c r="E97" s="1">
        <f t="shared" si="15"/>
        <v>1.666299215479587</v>
      </c>
      <c r="F97" s="1">
        <f t="shared" si="15"/>
        <v>1.9552750815874647</v>
      </c>
      <c r="G97" s="1">
        <f t="shared" si="15"/>
        <v>1.3461538458162055</v>
      </c>
      <c r="I97" s="3" t="s">
        <v>26</v>
      </c>
      <c r="J97" s="1">
        <f>C!D7</f>
        <v>0.5242021784963881</v>
      </c>
    </row>
    <row r="98" spans="2:10" ht="12.75">
      <c r="B98" t="s">
        <v>95</v>
      </c>
      <c r="E98" s="4">
        <f t="shared" si="15"/>
        <v>37.016623082199295</v>
      </c>
      <c r="F98" s="4">
        <f t="shared" si="15"/>
        <v>53.07083786597027</v>
      </c>
      <c r="G98" s="4">
        <f t="shared" si="15"/>
        <v>19.230769212011417</v>
      </c>
      <c r="I98" s="179" t="str">
        <f>Control_Panel!C30</f>
        <v>l</v>
      </c>
      <c r="J98" s="26">
        <f>C!E7</f>
        <v>0.950147915341163</v>
      </c>
    </row>
    <row r="99" spans="2:10" ht="12.75">
      <c r="B99" s="9" t="s">
        <v>96</v>
      </c>
      <c r="C99" s="9"/>
      <c r="D99" s="9"/>
      <c r="E99" s="10">
        <f t="shared" si="15"/>
        <v>62.201640418060755</v>
      </c>
      <c r="F99" s="10">
        <f t="shared" si="15"/>
        <v>75.99869063133127</v>
      </c>
      <c r="G99" s="10">
        <f t="shared" si="15"/>
        <v>39.9999999710165</v>
      </c>
      <c r="I99" s="180" t="s">
        <v>112</v>
      </c>
      <c r="J99" s="33">
        <f>Control_Panel!D21</f>
        <v>8.909378450219886E-05</v>
      </c>
    </row>
    <row r="101" spans="2:10" ht="19.5">
      <c r="B101" s="119"/>
      <c r="E101" s="244" t="s">
        <v>212</v>
      </c>
      <c r="F101" s="244"/>
      <c r="G101" s="244"/>
      <c r="I101" s="25" t="str">
        <f>I1</f>
        <v>Sample:  </v>
      </c>
      <c r="J101" s="190">
        <f>J1</f>
        <v>1</v>
      </c>
    </row>
    <row r="102" spans="2:10" ht="15.75">
      <c r="B102" s="248" t="str">
        <f>B2</f>
        <v>BALLBAL</v>
      </c>
      <c r="C102" s="248"/>
      <c r="D102" s="248"/>
      <c r="E102" s="248"/>
      <c r="F102" s="248"/>
      <c r="G102" s="248"/>
      <c r="H102" s="248"/>
      <c r="I102" s="248"/>
      <c r="J102" s="248"/>
    </row>
    <row r="103" spans="2:10" ht="12.75">
      <c r="B103" s="244" t="str">
        <f>B3</f>
        <v>Grinding Circuit Mass Balance Estimator</v>
      </c>
      <c r="C103" s="244"/>
      <c r="D103" s="244"/>
      <c r="E103" s="244"/>
      <c r="F103" s="244"/>
      <c r="G103" s="244"/>
      <c r="H103" s="244"/>
      <c r="I103" s="244"/>
      <c r="J103" s="244"/>
    </row>
    <row r="105" spans="2:10" ht="12.75">
      <c r="B105" t="str">
        <f>B5</f>
        <v>Remarks:</v>
      </c>
      <c r="C105" s="65" t="str">
        <f>C5</f>
        <v> Base Case Example</v>
      </c>
      <c r="D105" s="66"/>
      <c r="E105" s="66"/>
      <c r="F105" s="66"/>
      <c r="G105" s="66"/>
      <c r="H105" s="66"/>
      <c r="I105" s="66"/>
      <c r="J105" s="67"/>
    </row>
    <row r="106" spans="3:10" ht="12.75">
      <c r="C106" s="68" t="str">
        <f>C6</f>
        <v> </v>
      </c>
      <c r="D106" s="69"/>
      <c r="E106" s="69"/>
      <c r="F106" s="69"/>
      <c r="G106" s="69"/>
      <c r="H106" s="69"/>
      <c r="I106" s="69"/>
      <c r="J106" s="70"/>
    </row>
    <row r="108" spans="2:10" ht="16.5">
      <c r="B108" s="245" t="s">
        <v>89</v>
      </c>
      <c r="C108" s="245"/>
      <c r="D108" s="245"/>
      <c r="E108" s="245"/>
      <c r="F108" s="245"/>
      <c r="G108" s="245"/>
      <c r="H108" s="245"/>
      <c r="I108" s="245"/>
      <c r="J108" s="245"/>
    </row>
    <row r="110" spans="2:11" ht="12.75">
      <c r="B110" s="7" t="s">
        <v>203</v>
      </c>
      <c r="D110" s="4">
        <f>Data_File!D13</f>
        <v>18.5</v>
      </c>
      <c r="H110" s="7" t="s">
        <v>196</v>
      </c>
      <c r="J110" s="6">
        <f>Data_File!L15</f>
        <v>4316.139604104002</v>
      </c>
      <c r="K110" s="4"/>
    </row>
    <row r="111" spans="2:11" ht="12.75">
      <c r="B111" s="7" t="s">
        <v>204</v>
      </c>
      <c r="D111" s="4">
        <f>Data_File!E13</f>
        <v>22</v>
      </c>
      <c r="H111" s="7" t="s">
        <v>195</v>
      </c>
      <c r="J111" s="6">
        <f>Data_File!L13</f>
        <v>3884.5256436936015</v>
      </c>
      <c r="K111" s="5"/>
    </row>
    <row r="112" spans="2:11" ht="12.75">
      <c r="B112" s="7" t="s">
        <v>78</v>
      </c>
      <c r="D112" s="4">
        <f>Data_File!F13</f>
        <v>72</v>
      </c>
      <c r="H112" s="7" t="s">
        <v>83</v>
      </c>
      <c r="J112" s="4">
        <f>E13</f>
        <v>1622.9393812328499</v>
      </c>
      <c r="K112" s="5"/>
    </row>
    <row r="113" spans="2:10" ht="12.75">
      <c r="B113" s="7" t="s">
        <v>79</v>
      </c>
      <c r="D113" s="5">
        <f>Data_File!S13</f>
        <v>5.394680851063829</v>
      </c>
      <c r="H113" s="7" t="s">
        <v>19</v>
      </c>
      <c r="J113" s="4">
        <f>E19</f>
        <v>79.93943907620327</v>
      </c>
    </row>
    <row r="114" spans="2:11" ht="12.75">
      <c r="B114" s="7" t="s">
        <v>80</v>
      </c>
      <c r="D114" s="4">
        <f>Data_File!G13</f>
        <v>38</v>
      </c>
      <c r="H114" s="7" t="s">
        <v>84</v>
      </c>
      <c r="J114" s="5">
        <f>J110/J112</f>
        <v>2.6594582977124435</v>
      </c>
      <c r="K114" s="1"/>
    </row>
    <row r="115" spans="2:10" ht="12.75">
      <c r="B115" s="7" t="s">
        <v>197</v>
      </c>
      <c r="D115" s="4">
        <f>Data_File!H13</f>
        <v>38</v>
      </c>
      <c r="H115" s="7" t="s">
        <v>82</v>
      </c>
      <c r="J115" s="5">
        <f>E45/F45</f>
        <v>3.6744605186919883</v>
      </c>
    </row>
    <row r="116" spans="2:10" ht="12.75">
      <c r="B116" s="7" t="s">
        <v>81</v>
      </c>
      <c r="D116" s="4">
        <f>Data_File!K13</f>
        <v>35</v>
      </c>
      <c r="H116" s="7" t="s">
        <v>213</v>
      </c>
      <c r="J116" s="5">
        <f>(F16*35.31/60)/(D112/100)/(D110^2.5)/(0.5-0.6*Data_File!G13/100)</f>
        <v>2.47158387353206</v>
      </c>
    </row>
    <row r="117" spans="1:10" ht="12.75">
      <c r="A117" s="7"/>
      <c r="F117" s="9"/>
      <c r="G117" s="9"/>
      <c r="I117" s="8"/>
      <c r="J117" s="8"/>
    </row>
    <row r="118" spans="1:10" ht="15" customHeight="1">
      <c r="A118" s="24"/>
      <c r="B118" s="19"/>
      <c r="C118" s="19"/>
      <c r="D118" s="19"/>
      <c r="E118" s="19"/>
      <c r="F118" s="246" t="s">
        <v>60</v>
      </c>
      <c r="G118" s="246"/>
      <c r="H118" s="19"/>
      <c r="I118" s="8"/>
      <c r="J118" s="8"/>
    </row>
    <row r="119" spans="1:10" ht="15" customHeight="1">
      <c r="A119" s="20"/>
      <c r="B119" s="20"/>
      <c r="C119" s="20"/>
      <c r="D119" s="20"/>
      <c r="E119" s="19"/>
      <c r="F119" s="20" t="s">
        <v>4</v>
      </c>
      <c r="G119" s="20" t="s">
        <v>4</v>
      </c>
      <c r="H119" s="19"/>
      <c r="I119" s="8"/>
      <c r="J119" s="8"/>
    </row>
    <row r="120" spans="1:10" ht="15" customHeight="1">
      <c r="A120" s="2" t="str">
        <f>A70</f>
        <v>i</v>
      </c>
      <c r="B120" s="23" t="str">
        <f>B70</f>
        <v>Mesh</v>
      </c>
      <c r="C120" s="23" t="str">
        <f>C70</f>
        <v>Opening</v>
      </c>
      <c r="D120" s="23" t="str">
        <f>D70</f>
        <v>Mid-Size</v>
      </c>
      <c r="E120" s="19"/>
      <c r="F120" s="22" t="s">
        <v>5</v>
      </c>
      <c r="G120" s="22" t="s">
        <v>7</v>
      </c>
      <c r="H120" s="19"/>
      <c r="I120" s="8"/>
      <c r="J120" s="8"/>
    </row>
    <row r="121" spans="1:10" ht="12.75">
      <c r="A121" s="3"/>
      <c r="I121" s="8"/>
      <c r="J121" s="8"/>
    </row>
    <row r="122" spans="1:10" ht="12.75">
      <c r="A122" s="15">
        <f aca="true" t="shared" si="16" ref="A122:B141">A72</f>
        <v>1</v>
      </c>
      <c r="B122">
        <f t="shared" si="16"/>
        <v>1.05</v>
      </c>
      <c r="C122">
        <f aca="true" t="shared" si="17" ref="C122:D141">C72</f>
        <v>25400</v>
      </c>
      <c r="D122" s="6">
        <f t="shared" si="17"/>
        <v>21997.04525612474</v>
      </c>
      <c r="F122" s="5">
        <f aca="true" t="shared" si="18" ref="F122:G141">E24</f>
        <v>100.00000000000001</v>
      </c>
      <c r="G122" s="5">
        <f t="shared" si="18"/>
        <v>100</v>
      </c>
      <c r="I122" s="8"/>
      <c r="J122" s="8"/>
    </row>
    <row r="123" spans="1:10" ht="12.75">
      <c r="A123" s="15">
        <f t="shared" si="16"/>
        <v>2</v>
      </c>
      <c r="B123">
        <f t="shared" si="16"/>
        <v>0.742</v>
      </c>
      <c r="C123">
        <f t="shared" si="17"/>
        <v>19050</v>
      </c>
      <c r="D123" s="6">
        <f t="shared" si="17"/>
        <v>15554.259866673181</v>
      </c>
      <c r="F123" s="5">
        <f t="shared" si="18"/>
        <v>100.00000000000001</v>
      </c>
      <c r="G123" s="5">
        <f t="shared" si="18"/>
        <v>100</v>
      </c>
      <c r="I123" s="8"/>
      <c r="J123" s="8"/>
    </row>
    <row r="124" spans="1:10" ht="12.75">
      <c r="A124" s="15">
        <f t="shared" si="16"/>
        <v>3</v>
      </c>
      <c r="B124">
        <f t="shared" si="16"/>
        <v>0.525</v>
      </c>
      <c r="C124">
        <f t="shared" si="17"/>
        <v>12700</v>
      </c>
      <c r="D124" s="6">
        <f t="shared" si="17"/>
        <v>10984.079387914127</v>
      </c>
      <c r="F124" s="5">
        <f t="shared" si="18"/>
        <v>97.64800311588442</v>
      </c>
      <c r="G124" s="5">
        <f t="shared" si="18"/>
        <v>98.88023526951574</v>
      </c>
      <c r="I124" s="8"/>
      <c r="J124" s="8"/>
    </row>
    <row r="125" spans="1:10" ht="12.75">
      <c r="A125" s="15">
        <f t="shared" si="16"/>
        <v>4</v>
      </c>
      <c r="B125">
        <f t="shared" si="16"/>
        <v>0.371</v>
      </c>
      <c r="C125">
        <f t="shared" si="17"/>
        <v>9500</v>
      </c>
      <c r="D125" s="6">
        <f t="shared" si="17"/>
        <v>7978.095010715278</v>
      </c>
      <c r="F125" s="5">
        <f t="shared" si="18"/>
        <v>91.00026367261155</v>
      </c>
      <c r="G125" s="5">
        <f t="shared" si="18"/>
        <v>96.32361001361686</v>
      </c>
      <c r="I125" s="8"/>
      <c r="J125" s="8"/>
    </row>
    <row r="126" spans="1:10" ht="12.75">
      <c r="A126" s="15">
        <f t="shared" si="16"/>
        <v>5</v>
      </c>
      <c r="B126">
        <f t="shared" si="16"/>
        <v>3</v>
      </c>
      <c r="C126">
        <f t="shared" si="17"/>
        <v>6700</v>
      </c>
      <c r="D126" s="6">
        <f t="shared" si="17"/>
        <v>5641.365083027334</v>
      </c>
      <c r="F126" s="5">
        <f t="shared" si="18"/>
        <v>85.02128626693468</v>
      </c>
      <c r="G126" s="5">
        <f t="shared" si="18"/>
        <v>93.81219087253714</v>
      </c>
      <c r="I126" s="8"/>
      <c r="J126" s="8"/>
    </row>
    <row r="127" spans="1:10" ht="12.75">
      <c r="A127" s="15">
        <f t="shared" si="16"/>
        <v>6</v>
      </c>
      <c r="B127">
        <f t="shared" si="16"/>
        <v>4</v>
      </c>
      <c r="C127">
        <f t="shared" si="17"/>
        <v>4750</v>
      </c>
      <c r="D127" s="6">
        <f t="shared" si="17"/>
        <v>3989.047505357639</v>
      </c>
      <c r="F127" s="5">
        <f t="shared" si="18"/>
        <v>80.19517028078282</v>
      </c>
      <c r="G127" s="5">
        <f t="shared" si="18"/>
        <v>91.5318694659079</v>
      </c>
      <c r="I127" s="8"/>
      <c r="J127" s="8"/>
    </row>
    <row r="128" spans="1:10" ht="12.75">
      <c r="A128" s="15">
        <f t="shared" si="16"/>
        <v>7</v>
      </c>
      <c r="B128">
        <f t="shared" si="16"/>
        <v>6</v>
      </c>
      <c r="C128">
        <f t="shared" si="17"/>
        <v>3350</v>
      </c>
      <c r="D128" s="6">
        <f t="shared" si="17"/>
        <v>2811.761014026619</v>
      </c>
      <c r="F128" s="5">
        <f t="shared" si="18"/>
        <v>75.76550302067594</v>
      </c>
      <c r="G128" s="5">
        <f t="shared" si="18"/>
        <v>89.15752030478701</v>
      </c>
      <c r="I128" s="8"/>
      <c r="J128" s="8"/>
    </row>
    <row r="129" spans="1:10" ht="12.75">
      <c r="A129" s="15">
        <f t="shared" si="16"/>
        <v>8</v>
      </c>
      <c r="B129">
        <f t="shared" si="16"/>
        <v>8</v>
      </c>
      <c r="C129">
        <f t="shared" si="17"/>
        <v>2360</v>
      </c>
      <c r="D129" s="6">
        <f t="shared" si="17"/>
        <v>2002.9977533686852</v>
      </c>
      <c r="F129" s="5">
        <f t="shared" si="18"/>
        <v>71.36028903089743</v>
      </c>
      <c r="G129" s="5">
        <f t="shared" si="18"/>
        <v>86.4378940766412</v>
      </c>
      <c r="I129" s="8"/>
      <c r="J129" s="8"/>
    </row>
    <row r="130" spans="1:10" ht="12.75">
      <c r="A130" s="15">
        <f t="shared" si="16"/>
        <v>9</v>
      </c>
      <c r="B130">
        <f t="shared" si="16"/>
        <v>10</v>
      </c>
      <c r="C130">
        <f t="shared" si="17"/>
        <v>1700</v>
      </c>
      <c r="D130" s="6">
        <f t="shared" si="17"/>
        <v>1416.333294108417</v>
      </c>
      <c r="F130" s="5">
        <f t="shared" si="18"/>
        <v>66.87173107209713</v>
      </c>
      <c r="G130" s="5">
        <f t="shared" si="18"/>
        <v>83.28243812128906</v>
      </c>
      <c r="I130" s="8"/>
      <c r="J130" s="8"/>
    </row>
    <row r="131" spans="1:10" ht="12.75">
      <c r="A131" s="15">
        <f t="shared" si="16"/>
        <v>10</v>
      </c>
      <c r="B131">
        <f t="shared" si="16"/>
        <v>14</v>
      </c>
      <c r="C131">
        <f t="shared" si="17"/>
        <v>1180</v>
      </c>
      <c r="D131" s="6">
        <f t="shared" si="17"/>
        <v>1001.4988766843426</v>
      </c>
      <c r="F131" s="5">
        <f t="shared" si="18"/>
        <v>61.48803303029891</v>
      </c>
      <c r="G131" s="5">
        <f t="shared" si="18"/>
        <v>79.15535092984342</v>
      </c>
      <c r="I131" s="8"/>
      <c r="J131" s="8"/>
    </row>
    <row r="132" spans="1:10" ht="12.75">
      <c r="A132" s="15">
        <f t="shared" si="16"/>
        <v>11</v>
      </c>
      <c r="B132">
        <f t="shared" si="16"/>
        <v>20</v>
      </c>
      <c r="C132">
        <f t="shared" si="17"/>
        <v>850</v>
      </c>
      <c r="D132" s="6">
        <f t="shared" si="17"/>
        <v>714.142842854285</v>
      </c>
      <c r="F132" s="5">
        <f t="shared" si="18"/>
        <v>55.66986163219905</v>
      </c>
      <c r="G132" s="5">
        <f t="shared" si="18"/>
        <v>74.29792341001284</v>
      </c>
      <c r="I132" s="8"/>
      <c r="J132" s="8"/>
    </row>
    <row r="133" spans="1:10" ht="12.75">
      <c r="A133" s="15">
        <f t="shared" si="16"/>
        <v>12</v>
      </c>
      <c r="B133">
        <f t="shared" si="16"/>
        <v>28</v>
      </c>
      <c r="C133">
        <f t="shared" si="17"/>
        <v>600</v>
      </c>
      <c r="D133" s="6">
        <f t="shared" si="17"/>
        <v>504.9752469181039</v>
      </c>
      <c r="F133" s="5">
        <f t="shared" si="18"/>
        <v>48.604618084254525</v>
      </c>
      <c r="G133" s="5">
        <f t="shared" si="18"/>
        <v>68.0985855532371</v>
      </c>
      <c r="I133" s="8"/>
      <c r="J133" s="8"/>
    </row>
    <row r="134" spans="1:10" ht="12.75">
      <c r="A134" s="15">
        <f t="shared" si="16"/>
        <v>13</v>
      </c>
      <c r="B134">
        <f t="shared" si="16"/>
        <v>35</v>
      </c>
      <c r="C134">
        <f t="shared" si="17"/>
        <v>425</v>
      </c>
      <c r="D134" s="6">
        <f t="shared" si="17"/>
        <v>357.0714214271425</v>
      </c>
      <c r="F134" s="5">
        <f t="shared" si="18"/>
        <v>40.411321055714865</v>
      </c>
      <c r="G134" s="5">
        <f t="shared" si="18"/>
        <v>60.527874746151106</v>
      </c>
      <c r="I134" s="8"/>
      <c r="J134" s="8"/>
    </row>
    <row r="135" spans="1:10" ht="12.75">
      <c r="A135" s="15">
        <f t="shared" si="16"/>
        <v>14</v>
      </c>
      <c r="B135">
        <f t="shared" si="16"/>
        <v>48</v>
      </c>
      <c r="C135">
        <f t="shared" si="17"/>
        <v>300</v>
      </c>
      <c r="D135" s="6">
        <f t="shared" si="17"/>
        <v>252.19040425836982</v>
      </c>
      <c r="F135" s="5">
        <f t="shared" si="18"/>
        <v>31.686669218507156</v>
      </c>
      <c r="G135" s="5">
        <f t="shared" si="18"/>
        <v>51.77129961779691</v>
      </c>
      <c r="I135" s="8"/>
      <c r="J135" s="8"/>
    </row>
    <row r="136" spans="1:10" ht="12.75">
      <c r="A136" s="15">
        <f t="shared" si="16"/>
        <v>15</v>
      </c>
      <c r="B136">
        <f t="shared" si="16"/>
        <v>65</v>
      </c>
      <c r="C136">
        <f t="shared" si="17"/>
        <v>212</v>
      </c>
      <c r="D136" s="6">
        <f t="shared" si="17"/>
        <v>178.3255450012701</v>
      </c>
      <c r="F136" s="5">
        <f t="shared" si="18"/>
        <v>23.9681008090972</v>
      </c>
      <c r="G136" s="5">
        <f t="shared" si="18"/>
        <v>42.921295849436106</v>
      </c>
      <c r="I136" s="8"/>
      <c r="J136" s="8"/>
    </row>
    <row r="137" spans="1:10" ht="12.75">
      <c r="A137" s="15">
        <f t="shared" si="16"/>
        <v>16</v>
      </c>
      <c r="B137">
        <f t="shared" si="16"/>
        <v>100</v>
      </c>
      <c r="C137">
        <f t="shared" si="17"/>
        <v>150</v>
      </c>
      <c r="D137" s="6">
        <f t="shared" si="17"/>
        <v>126.09520212918491</v>
      </c>
      <c r="F137" s="5">
        <f t="shared" si="18"/>
        <v>18.217672448326063</v>
      </c>
      <c r="G137" s="5">
        <f t="shared" si="18"/>
        <v>35.18152485227806</v>
      </c>
      <c r="I137" s="8"/>
      <c r="J137" s="8"/>
    </row>
    <row r="138" spans="1:10" ht="12.75">
      <c r="A138" s="15">
        <f t="shared" si="16"/>
        <v>17</v>
      </c>
      <c r="B138">
        <f t="shared" si="16"/>
        <v>150</v>
      </c>
      <c r="C138">
        <f t="shared" si="17"/>
        <v>106</v>
      </c>
      <c r="D138" s="6">
        <f t="shared" si="17"/>
        <v>89.16277250063504</v>
      </c>
      <c r="F138" s="5">
        <f t="shared" si="18"/>
        <v>14.312368688335164</v>
      </c>
      <c r="G138" s="5">
        <f t="shared" si="18"/>
        <v>29.083277111950565</v>
      </c>
      <c r="I138" s="8"/>
      <c r="J138" s="8"/>
    </row>
    <row r="139" spans="1:10" ht="12.75">
      <c r="A139" s="15">
        <f t="shared" si="16"/>
        <v>18</v>
      </c>
      <c r="B139">
        <f t="shared" si="16"/>
        <v>200</v>
      </c>
      <c r="C139">
        <f t="shared" si="17"/>
        <v>75</v>
      </c>
      <c r="D139" s="6">
        <f t="shared" si="17"/>
        <v>63.047601064592456</v>
      </c>
      <c r="F139" s="5">
        <f t="shared" si="18"/>
        <v>11.72728041818241</v>
      </c>
      <c r="G139" s="5">
        <f t="shared" si="18"/>
        <v>24.56972954835853</v>
      </c>
      <c r="I139" s="8"/>
      <c r="J139" s="8"/>
    </row>
    <row r="140" spans="1:10" ht="12.75">
      <c r="A140" s="15">
        <f t="shared" si="16"/>
        <v>19</v>
      </c>
      <c r="B140">
        <f t="shared" si="16"/>
        <v>270</v>
      </c>
      <c r="C140">
        <f t="shared" si="17"/>
        <v>53</v>
      </c>
      <c r="D140" s="6">
        <f t="shared" si="17"/>
        <v>44.87761134463375</v>
      </c>
      <c r="F140" s="5">
        <f t="shared" si="18"/>
        <v>9.949413635157297</v>
      </c>
      <c r="G140" s="5">
        <f t="shared" si="18"/>
        <v>21.24277041549928</v>
      </c>
      <c r="I140" s="8"/>
      <c r="J140" s="8"/>
    </row>
    <row r="141" spans="1:10" ht="12.75">
      <c r="A141" s="15">
        <f t="shared" si="16"/>
        <v>20</v>
      </c>
      <c r="B141" s="16">
        <f t="shared" si="16"/>
        <v>400</v>
      </c>
      <c r="C141" s="16">
        <f t="shared" si="17"/>
        <v>38</v>
      </c>
      <c r="D141" s="17">
        <f t="shared" si="17"/>
        <v>19</v>
      </c>
      <c r="E141" s="16"/>
      <c r="F141" s="18">
        <f t="shared" si="18"/>
        <v>8.739726520912665</v>
      </c>
      <c r="G141" s="18">
        <f t="shared" si="18"/>
        <v>18.840914596375455</v>
      </c>
      <c r="I141" s="8"/>
      <c r="J141" s="8"/>
    </row>
    <row r="142" spans="2:7" ht="12.75">
      <c r="B142" s="9"/>
      <c r="C142" s="9"/>
      <c r="D142" s="9"/>
      <c r="E142" s="9"/>
      <c r="F142" s="9"/>
      <c r="G142" s="9"/>
    </row>
    <row r="143" spans="2:7" ht="18" customHeight="1">
      <c r="B143" s="12"/>
      <c r="C143" s="12" t="s">
        <v>61</v>
      </c>
      <c r="D143" s="12"/>
      <c r="E143" s="12"/>
      <c r="F143" s="13">
        <f>E45</f>
        <v>4679.402004174648</v>
      </c>
      <c r="G143" s="13">
        <f>F45</f>
        <v>1273.4936136530846</v>
      </c>
    </row>
  </sheetData>
  <sheetProtection insertColumns="0" insertRows="0"/>
  <mergeCells count="19">
    <mergeCell ref="E1:G1"/>
    <mergeCell ref="E49:G49"/>
    <mergeCell ref="E101:G101"/>
    <mergeCell ref="D21:J21"/>
    <mergeCell ref="E69:G69"/>
    <mergeCell ref="B50:J50"/>
    <mergeCell ref="B2:J2"/>
    <mergeCell ref="B3:J3"/>
    <mergeCell ref="B8:J8"/>
    <mergeCell ref="B9:J9"/>
    <mergeCell ref="B51:J51"/>
    <mergeCell ref="B56:J56"/>
    <mergeCell ref="F118:G118"/>
    <mergeCell ref="I69:J69"/>
    <mergeCell ref="B67:J67"/>
    <mergeCell ref="I93:J93"/>
    <mergeCell ref="B108:J108"/>
    <mergeCell ref="B102:J102"/>
    <mergeCell ref="B103:J103"/>
  </mergeCells>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2" manualBreakCount="2">
    <brk id="48" max="9" man="1"/>
    <brk id="100" max="9" man="1"/>
  </rowBreaks>
  <drawing r:id="rId1"/>
</worksheet>
</file>

<file path=xl/worksheets/sheet6.xml><?xml version="1.0" encoding="utf-8"?>
<worksheet xmlns="http://schemas.openxmlformats.org/spreadsheetml/2006/main" xmlns:r="http://schemas.openxmlformats.org/officeDocument/2006/relationships">
  <sheetPr codeName="Sheet6"/>
  <dimension ref="A1:AI43"/>
  <sheetViews>
    <sheetView workbookViewId="0" topLeftCell="A1">
      <selection activeCell="A1" sqref="A1"/>
    </sheetView>
  </sheetViews>
  <sheetFormatPr defaultColWidth="11.421875" defaultRowHeight="12.75"/>
  <cols>
    <col min="1" max="1" width="9.7109375" style="149" customWidth="1"/>
    <col min="2" max="6" width="9.140625" style="149" customWidth="1"/>
    <col min="7" max="7" width="20.7109375" style="149" customWidth="1"/>
    <col min="8" max="10" width="9.140625" style="149" customWidth="1"/>
    <col min="11" max="11" width="1.7109375" style="149" customWidth="1"/>
    <col min="12" max="14" width="10.7109375" style="149" customWidth="1"/>
    <col min="15" max="15" width="1.7109375" style="149" customWidth="1"/>
    <col min="16" max="18" width="10.7109375" style="149" customWidth="1"/>
    <col min="19" max="19" width="1.7109375" style="149" customWidth="1"/>
    <col min="20" max="22" width="9.140625" style="149" customWidth="1"/>
    <col min="23" max="23" width="1.7109375" style="149" customWidth="1"/>
    <col min="24" max="26" width="9.140625" style="149" customWidth="1"/>
    <col min="27" max="27" width="1.7109375" style="149" customWidth="1"/>
    <col min="28" max="16384" width="9.140625" style="149" customWidth="1"/>
  </cols>
  <sheetData>
    <row r="1" spans="1:5" ht="12.75">
      <c r="A1" s="147" t="s">
        <v>40</v>
      </c>
      <c r="B1" s="147"/>
      <c r="C1" s="147"/>
      <c r="D1" s="147"/>
      <c r="E1" s="148">
        <f>Data_File!D18</f>
        <v>10</v>
      </c>
    </row>
    <row r="2" spans="1:5" ht="12.75">
      <c r="A2" s="147" t="s">
        <v>33</v>
      </c>
      <c r="B2" s="147"/>
      <c r="C2" s="147"/>
      <c r="D2" s="147"/>
      <c r="E2" s="147"/>
    </row>
    <row r="3" spans="1:5" ht="12.75">
      <c r="A3" s="149" t="s">
        <v>28</v>
      </c>
      <c r="B3" s="149" t="s">
        <v>29</v>
      </c>
      <c r="C3" s="149" t="s">
        <v>30</v>
      </c>
      <c r="D3" s="149" t="s">
        <v>31</v>
      </c>
      <c r="E3" s="149" t="s">
        <v>32</v>
      </c>
    </row>
    <row r="4" spans="1:5" ht="12.75">
      <c r="A4" s="148">
        <f>Data_File!E18</f>
        <v>20</v>
      </c>
      <c r="B4" s="148">
        <f>Data_File!F18</f>
        <v>75</v>
      </c>
      <c r="C4" s="148">
        <f>Data_File!G18</f>
        <v>3.5</v>
      </c>
      <c r="D4" s="148">
        <f>Data_File!H18</f>
        <v>7.5</v>
      </c>
      <c r="E4" s="148">
        <f>Data_File!I18</f>
        <v>3.6695075563417805</v>
      </c>
    </row>
    <row r="5" spans="1:5" ht="12.75">
      <c r="A5" s="147" t="s">
        <v>22</v>
      </c>
      <c r="B5" s="147"/>
      <c r="C5" s="147"/>
      <c r="D5" s="147"/>
      <c r="E5" s="147"/>
    </row>
    <row r="6" spans="1:10" ht="12.75">
      <c r="A6" s="150" t="s">
        <v>23</v>
      </c>
      <c r="B6" s="149" t="s">
        <v>24</v>
      </c>
      <c r="C6" s="149" t="s">
        <v>25</v>
      </c>
      <c r="D6" s="149" t="s">
        <v>26</v>
      </c>
      <c r="E6" s="150" t="s">
        <v>27</v>
      </c>
      <c r="H6" s="147" t="s">
        <v>8</v>
      </c>
      <c r="I6" s="147" t="s">
        <v>8</v>
      </c>
      <c r="J6" s="147" t="s">
        <v>8</v>
      </c>
    </row>
    <row r="7" spans="1:10" ht="12.75">
      <c r="A7" s="148">
        <f>E10/(($H$11^1.46)*EXP(-7.63*$H$14/100+10.79*$H$14*$H$14/10000)/(($A$4^0.2)*($B$4^0.15)*($C$4^0.51)*($D$4^1.65)*($E$4^0.53)))</f>
        <v>9.679604704055452</v>
      </c>
      <c r="B7" s="148">
        <f>E12/(($A$4^0.44)*($C$4^0.58)*($D$4^1.91)*EXP(11.12*$H$14/100)/(($E$4^0.8)*($B$4^0.37)*($H$11^0.44)*($H$12-1)^0.5))</f>
        <v>1.4010848848441233</v>
      </c>
      <c r="C7" s="148">
        <f>E9/(B4^0.19*(E4/D4)^2.64*EXP(-4.33*H14/100+8.77*H14*H14/10000)/(E10^0.54*A4^0.38))</f>
        <v>54.94997691696283</v>
      </c>
      <c r="D7" s="148">
        <f>LN(E16/(A4*A4*B4/H11)^0.15)+1.58*E9/(E9+1)</f>
        <v>0.5242021784963881</v>
      </c>
      <c r="E7" s="148">
        <f>E14/E13</f>
        <v>0.950147915341163</v>
      </c>
      <c r="H7" s="147" t="s">
        <v>5</v>
      </c>
      <c r="I7" s="147" t="s">
        <v>9</v>
      </c>
      <c r="J7" s="147" t="s">
        <v>10</v>
      </c>
    </row>
    <row r="8" spans="1:10" ht="12.75">
      <c r="A8" s="147" t="s">
        <v>35</v>
      </c>
      <c r="B8" s="147"/>
      <c r="C8" s="147"/>
      <c r="D8" s="147"/>
      <c r="E8" s="148">
        <f>I8/J8</f>
        <v>3.0573484530821244</v>
      </c>
      <c r="G8" s="149" t="s">
        <v>15</v>
      </c>
      <c r="H8" s="151">
        <f>Data_File!AB46/E1</f>
        <v>162.28444237818678</v>
      </c>
      <c r="I8" s="151">
        <f>H8-J8</f>
        <v>122.28678276014017</v>
      </c>
      <c r="J8" s="148">
        <f>J43/E1</f>
        <v>39.99765961804661</v>
      </c>
    </row>
    <row r="9" spans="1:10" ht="12.75">
      <c r="A9" s="147" t="s">
        <v>34</v>
      </c>
      <c r="B9" s="147"/>
      <c r="C9" s="147"/>
      <c r="D9" s="147"/>
      <c r="E9" s="148">
        <f>I11/J11</f>
        <v>1.1078619608457834</v>
      </c>
      <c r="G9" s="149" t="s">
        <v>17</v>
      </c>
      <c r="H9" s="151">
        <f>H10-H8</f>
        <v>98.61614044802786</v>
      </c>
      <c r="I9" s="151">
        <f>H9-J9</f>
        <v>38.619650948503434</v>
      </c>
      <c r="J9" s="151">
        <f>J10-J8</f>
        <v>59.99648949952443</v>
      </c>
    </row>
    <row r="10" spans="1:10" ht="12.75">
      <c r="A10" s="147" t="s">
        <v>39</v>
      </c>
      <c r="B10" s="147"/>
      <c r="C10" s="147"/>
      <c r="D10" s="147"/>
      <c r="E10" s="148">
        <f>E11/H13/0.433</f>
        <v>11.056208793263757</v>
      </c>
      <c r="G10" s="149" t="s">
        <v>14</v>
      </c>
      <c r="H10" s="148">
        <f>H8/H15*100</f>
        <v>260.90058282621465</v>
      </c>
      <c r="I10" s="148">
        <f>I8+I9</f>
        <v>160.9064337086436</v>
      </c>
      <c r="J10" s="148">
        <f>J8/J15*100</f>
        <v>99.99414911757104</v>
      </c>
    </row>
    <row r="11" spans="1:10" ht="12.75">
      <c r="A11" s="147" t="s">
        <v>36</v>
      </c>
      <c r="B11" s="147"/>
      <c r="C11" s="147"/>
      <c r="D11" s="147"/>
      <c r="E11" s="151">
        <f>Data_File!J18</f>
        <v>7.977138232624562</v>
      </c>
      <c r="G11" s="149" t="s">
        <v>16</v>
      </c>
      <c r="H11" s="148">
        <f>H8/H12+H9</f>
        <v>156.57486986880886</v>
      </c>
      <c r="I11" s="148">
        <f>I8/I12+I9</f>
        <v>82.29350193426778</v>
      </c>
      <c r="J11" s="148">
        <f>J8/J12+J9</f>
        <v>74.28136793454108</v>
      </c>
    </row>
    <row r="12" spans="1:10" ht="12.75">
      <c r="A12" s="147" t="s">
        <v>37</v>
      </c>
      <c r="B12" s="147"/>
      <c r="C12" s="147"/>
      <c r="D12" s="147"/>
      <c r="E12" s="148">
        <f>Control_Panel!E21</f>
        <v>179.7774737743032</v>
      </c>
      <c r="G12" s="149" t="s">
        <v>20</v>
      </c>
      <c r="H12" s="148">
        <f>Data_File!$R17</f>
        <v>2.8</v>
      </c>
      <c r="I12" s="148">
        <f>Data_File!$R17</f>
        <v>2.8</v>
      </c>
      <c r="J12" s="148">
        <f>Data_File!$R17</f>
        <v>2.8</v>
      </c>
    </row>
    <row r="13" spans="1:10" ht="12.75">
      <c r="A13" s="147" t="s">
        <v>38</v>
      </c>
      <c r="B13" s="147"/>
      <c r="C13" s="147"/>
      <c r="D13" s="147"/>
      <c r="E13" s="148">
        <f>I9/H9</f>
        <v>0.3916159238543365</v>
      </c>
      <c r="G13" s="149" t="s">
        <v>21</v>
      </c>
      <c r="H13" s="148">
        <f>H10/H11</f>
        <v>1.666299215479587</v>
      </c>
      <c r="I13" s="148">
        <f>I10/I11</f>
        <v>1.9552750815874644</v>
      </c>
      <c r="J13" s="148">
        <f>J10/J11</f>
        <v>1.3461538458162055</v>
      </c>
    </row>
    <row r="14" spans="1:10" ht="12.75">
      <c r="A14" s="147" t="s">
        <v>115</v>
      </c>
      <c r="B14" s="147"/>
      <c r="C14" s="147"/>
      <c r="D14" s="147"/>
      <c r="E14" s="148">
        <f>Control_Panel!C21</f>
        <v>0.3720930536646015</v>
      </c>
      <c r="G14" s="149" t="s">
        <v>18</v>
      </c>
      <c r="H14" s="148">
        <f>H8/H12/H11*100</f>
        <v>37.01662308219929</v>
      </c>
      <c r="I14" s="148">
        <f>I8/I12/I11*100</f>
        <v>53.070837865970255</v>
      </c>
      <c r="J14" s="148">
        <f>J8/J12/J11*100</f>
        <v>19.230769212011417</v>
      </c>
    </row>
    <row r="15" spans="1:10" ht="12.75">
      <c r="A15" s="147" t="s">
        <v>116</v>
      </c>
      <c r="B15" s="147"/>
      <c r="C15" s="147"/>
      <c r="D15" s="147"/>
      <c r="E15" s="148">
        <f>Control_Panel!D21</f>
        <v>8.909378450219886E-05</v>
      </c>
      <c r="G15" s="149" t="s">
        <v>19</v>
      </c>
      <c r="H15" s="151">
        <f>Data_File!AD48</f>
        <v>62.201640418060755</v>
      </c>
      <c r="I15" s="151">
        <f>I8/I10*100</f>
        <v>75.99869063133127</v>
      </c>
      <c r="J15" s="151">
        <f>Data_File!AH48</f>
        <v>39.9999999710165</v>
      </c>
    </row>
    <row r="16" spans="1:5" ht="12.75">
      <c r="A16" s="147" t="s">
        <v>43</v>
      </c>
      <c r="B16" s="147"/>
      <c r="C16" s="147"/>
      <c r="D16" s="147"/>
      <c r="E16" s="148">
        <f>Control_Panel!F21</f>
        <v>1.6194549377468341</v>
      </c>
    </row>
    <row r="17" spans="8:26" ht="12.75">
      <c r="H17" s="252" t="s">
        <v>121</v>
      </c>
      <c r="I17" s="253"/>
      <c r="J17" s="254"/>
      <c r="L17" s="252" t="s">
        <v>132</v>
      </c>
      <c r="M17" s="253"/>
      <c r="N17" s="254"/>
      <c r="P17" s="252" t="s">
        <v>131</v>
      </c>
      <c r="Q17" s="253"/>
      <c r="R17" s="254"/>
      <c r="T17" s="252" t="s">
        <v>130</v>
      </c>
      <c r="U17" s="253"/>
      <c r="V17" s="254"/>
      <c r="X17" s="252" t="s">
        <v>122</v>
      </c>
      <c r="Y17" s="253"/>
      <c r="Z17" s="254"/>
    </row>
    <row r="18" spans="2:26" ht="12.75">
      <c r="B18" s="149" t="s">
        <v>1</v>
      </c>
      <c r="C18" s="149" t="s">
        <v>3</v>
      </c>
      <c r="E18" s="149" t="s">
        <v>41</v>
      </c>
      <c r="H18" s="147" t="s">
        <v>8</v>
      </c>
      <c r="I18" s="147" t="s">
        <v>8</v>
      </c>
      <c r="J18" s="147" t="s">
        <v>8</v>
      </c>
      <c r="L18" s="147" t="s">
        <v>8</v>
      </c>
      <c r="M18" s="147" t="s">
        <v>8</v>
      </c>
      <c r="N18" s="147" t="s">
        <v>8</v>
      </c>
      <c r="P18" s="147" t="s">
        <v>8</v>
      </c>
      <c r="Q18" s="147" t="s">
        <v>8</v>
      </c>
      <c r="R18" s="147" t="s">
        <v>8</v>
      </c>
      <c r="T18" s="147" t="s">
        <v>8</v>
      </c>
      <c r="U18" s="147" t="s">
        <v>8</v>
      </c>
      <c r="V18" s="147" t="s">
        <v>8</v>
      </c>
      <c r="X18" s="147" t="s">
        <v>8</v>
      </c>
      <c r="Y18" s="147" t="s">
        <v>8</v>
      </c>
      <c r="Z18" s="147" t="s">
        <v>8</v>
      </c>
    </row>
    <row r="19" spans="5:26" ht="12.75">
      <c r="E19" s="149" t="s">
        <v>42</v>
      </c>
      <c r="H19" s="147" t="s">
        <v>5</v>
      </c>
      <c r="I19" s="147" t="s">
        <v>9</v>
      </c>
      <c r="J19" s="147" t="s">
        <v>10</v>
      </c>
      <c r="L19" s="147" t="s">
        <v>5</v>
      </c>
      <c r="M19" s="147" t="s">
        <v>9</v>
      </c>
      <c r="N19" s="147" t="s">
        <v>10</v>
      </c>
      <c r="P19" s="147" t="s">
        <v>5</v>
      </c>
      <c r="Q19" s="147" t="s">
        <v>9</v>
      </c>
      <c r="R19" s="147" t="s">
        <v>10</v>
      </c>
      <c r="T19" s="147" t="s">
        <v>5</v>
      </c>
      <c r="U19" s="147" t="s">
        <v>9</v>
      </c>
      <c r="V19" s="147" t="s">
        <v>10</v>
      </c>
      <c r="X19" s="147" t="s">
        <v>5</v>
      </c>
      <c r="Y19" s="147" t="s">
        <v>9</v>
      </c>
      <c r="Z19" s="147" t="s">
        <v>10</v>
      </c>
    </row>
    <row r="20" spans="24:26" ht="12.75">
      <c r="X20" s="149">
        <f>Data_File!O50</f>
        <v>1</v>
      </c>
      <c r="Y20" s="149">
        <f>Data_File!R50</f>
        <v>1</v>
      </c>
      <c r="Z20" s="149">
        <f>Data_File!U50</f>
        <v>1</v>
      </c>
    </row>
    <row r="21" spans="1:22" ht="12.75">
      <c r="A21" s="147">
        <v>1</v>
      </c>
      <c r="B21" s="149">
        <f>Data_File!E25</f>
        <v>25400</v>
      </c>
      <c r="P21" s="152">
        <f aca="true" t="shared" si="0" ref="P21:P39">P22+L22</f>
        <v>100</v>
      </c>
      <c r="Q21" s="152">
        <f aca="true" t="shared" si="1" ref="Q21:Q39">Q22+M22</f>
        <v>100</v>
      </c>
      <c r="R21" s="152">
        <f aca="true" t="shared" si="2" ref="R21:R39">R22+N22</f>
        <v>100.00000000000001</v>
      </c>
      <c r="T21" s="152">
        <f>Data_File!AD25</f>
        <v>100</v>
      </c>
      <c r="U21" s="152">
        <f>Data_File!R25</f>
        <v>100</v>
      </c>
      <c r="V21" s="152">
        <f>Data_File!U25</f>
        <v>100</v>
      </c>
    </row>
    <row r="22" spans="1:26" ht="12.75">
      <c r="A22" s="147">
        <v>2</v>
      </c>
      <c r="B22" s="149">
        <f>Data_File!E26</f>
        <v>19050</v>
      </c>
      <c r="C22" s="149">
        <f>Data_File!F26</f>
        <v>21997.04525612474</v>
      </c>
      <c r="E22" s="149">
        <f>$E$14+(1-$E$14-$E$15)*(1-EXP(-0.693*(C22/$E$12)^$E$16))</f>
        <v>0.9999109062154978</v>
      </c>
      <c r="H22" s="152">
        <f>Data_File!AB26</f>
        <v>0</v>
      </c>
      <c r="I22" s="149">
        <f>H22*E22</f>
        <v>0</v>
      </c>
      <c r="J22" s="152">
        <f>H22-I22</f>
        <v>0</v>
      </c>
      <c r="L22" s="152">
        <f aca="true" t="shared" si="3" ref="L22:L41">H22/H$43*100</f>
        <v>0</v>
      </c>
      <c r="M22" s="152">
        <f aca="true" t="shared" si="4" ref="M22:M41">I22/I$43*100</f>
        <v>0</v>
      </c>
      <c r="N22" s="152">
        <f aca="true" t="shared" si="5" ref="N22:N41">J22/J$43*100</f>
        <v>0</v>
      </c>
      <c r="P22" s="152">
        <f t="shared" si="0"/>
        <v>100</v>
      </c>
      <c r="Q22" s="152">
        <f t="shared" si="1"/>
        <v>100</v>
      </c>
      <c r="R22" s="152">
        <f t="shared" si="2"/>
        <v>100.00000000000001</v>
      </c>
      <c r="T22" s="152">
        <f>Data_File!AD26</f>
        <v>100</v>
      </c>
      <c r="U22" s="152">
        <f>Data_File!R26</f>
        <v>100</v>
      </c>
      <c r="V22" s="152">
        <f>Data_File!U26</f>
        <v>100</v>
      </c>
      <c r="X22" s="153">
        <v>0</v>
      </c>
      <c r="Y22" s="153">
        <f>$Y$20*((Q22-U22)/U22*100)^2</f>
        <v>0</v>
      </c>
      <c r="Z22" s="153">
        <f>$Z$20*((R22-V22)/V22*100)^2</f>
        <v>2.0194839173657902E-28</v>
      </c>
    </row>
    <row r="23" spans="1:26" ht="12.75">
      <c r="A23" s="147">
        <v>3</v>
      </c>
      <c r="B23" s="149">
        <f>Data_File!E27</f>
        <v>12700</v>
      </c>
      <c r="C23" s="149">
        <f>Data_File!F27</f>
        <v>15554.259866673181</v>
      </c>
      <c r="E23" s="149">
        <f aca="true" t="shared" si="6" ref="E23:E41">$E$14+(1-$E$14-$E$15)*(1-EXP(-0.693*(C23/$E$12)^$E$16))</f>
        <v>0.9999109062154978</v>
      </c>
      <c r="H23" s="152">
        <f>Data_File!AB27</f>
        <v>18.172039488140026</v>
      </c>
      <c r="I23" s="149">
        <f aca="true" t="shared" si="7" ref="I23:I41">H23*E23</f>
        <v>18.170420472369905</v>
      </c>
      <c r="J23" s="152">
        <f aca="true" t="shared" si="8" ref="J23:J41">H23-I23</f>
        <v>0.001619015770121024</v>
      </c>
      <c r="L23" s="152">
        <f t="shared" si="3"/>
        <v>1.1197647304842695</v>
      </c>
      <c r="M23" s="152">
        <f t="shared" si="4"/>
        <v>1.4858858874397192</v>
      </c>
      <c r="N23" s="152">
        <f t="shared" si="5"/>
        <v>0.000404777625886525</v>
      </c>
      <c r="P23" s="152">
        <f t="shared" si="0"/>
        <v>98.88023526951574</v>
      </c>
      <c r="Q23" s="152">
        <f t="shared" si="1"/>
        <v>98.51411411256028</v>
      </c>
      <c r="R23" s="152">
        <f t="shared" si="2"/>
        <v>99.99959522237413</v>
      </c>
      <c r="T23" s="152">
        <f>Data_File!AD27</f>
        <v>98.88023526951574</v>
      </c>
      <c r="U23" s="152">
        <f>Data_File!R27</f>
        <v>98.51395328459961</v>
      </c>
      <c r="V23" s="152">
        <f>Data_File!U27</f>
        <v>100</v>
      </c>
      <c r="X23" s="153">
        <v>0</v>
      </c>
      <c r="Y23" s="153">
        <f aca="true" t="shared" si="9" ref="Y23:Y40">$Y$20*((Q23-U23)/U23*100)^2</f>
        <v>2.6651865657296223E-08</v>
      </c>
      <c r="Z23" s="153">
        <f aca="true" t="shared" si="10" ref="Z23:Z40">$Z$20*((R23-V23)/V23*100)^2</f>
        <v>1.638449264085406E-07</v>
      </c>
    </row>
    <row r="24" spans="1:26" ht="12.75">
      <c r="A24" s="147">
        <v>4</v>
      </c>
      <c r="B24" s="149">
        <f>Data_File!E28</f>
        <v>9500</v>
      </c>
      <c r="C24" s="149">
        <f>Data_File!F28</f>
        <v>10984.079387914127</v>
      </c>
      <c r="E24" s="149">
        <f t="shared" si="6"/>
        <v>0.9999109062154978</v>
      </c>
      <c r="H24" s="152">
        <f>Data_File!AB28</f>
        <v>41.49005040235376</v>
      </c>
      <c r="I24" s="149">
        <f t="shared" si="7"/>
        <v>41.48635389674423</v>
      </c>
      <c r="J24" s="152">
        <f t="shared" si="8"/>
        <v>0.0036965056095326077</v>
      </c>
      <c r="L24" s="152">
        <f t="shared" si="3"/>
        <v>2.5566252558988722</v>
      </c>
      <c r="M24" s="152">
        <f t="shared" si="4"/>
        <v>3.3925460266722185</v>
      </c>
      <c r="N24" s="152">
        <f t="shared" si="5"/>
        <v>0.0009241804757658307</v>
      </c>
      <c r="P24" s="152">
        <f t="shared" si="0"/>
        <v>96.32361001361686</v>
      </c>
      <c r="Q24" s="152">
        <f t="shared" si="1"/>
        <v>95.12156808588806</v>
      </c>
      <c r="R24" s="152">
        <f t="shared" si="2"/>
        <v>99.99867104189836</v>
      </c>
      <c r="T24" s="152">
        <f>Data_File!AD28</f>
        <v>96.32361001361686</v>
      </c>
      <c r="U24" s="152">
        <f>Data_File!R28</f>
        <v>95.12104005862658</v>
      </c>
      <c r="V24" s="152">
        <f>Data_File!U28</f>
        <v>100</v>
      </c>
      <c r="X24" s="153">
        <v>0</v>
      </c>
      <c r="Y24" s="153">
        <f t="shared" si="9"/>
        <v>3.081481112081842E-07</v>
      </c>
      <c r="Z24" s="153">
        <f t="shared" si="10"/>
        <v>1.7661296359093366E-06</v>
      </c>
    </row>
    <row r="25" spans="1:26" ht="12.75">
      <c r="A25" s="147">
        <v>5</v>
      </c>
      <c r="B25" s="149">
        <f>Data_File!E29</f>
        <v>6700</v>
      </c>
      <c r="C25" s="149">
        <f>Data_File!F29</f>
        <v>7978.095010715278</v>
      </c>
      <c r="E25" s="149">
        <f t="shared" si="6"/>
        <v>0.9999109062154978</v>
      </c>
      <c r="H25" s="152">
        <f>Data_File!AB29</f>
        <v>40.75642548880265</v>
      </c>
      <c r="I25" s="149">
        <f t="shared" si="7"/>
        <v>40.75279434461307</v>
      </c>
      <c r="J25" s="152">
        <f t="shared" si="8"/>
        <v>0.0036311441895762187</v>
      </c>
      <c r="L25" s="152">
        <f t="shared" si="3"/>
        <v>2.511419141079716</v>
      </c>
      <c r="M25" s="152">
        <f t="shared" si="4"/>
        <v>3.332559204255768</v>
      </c>
      <c r="N25" s="152">
        <f t="shared" si="5"/>
        <v>0.000907839164653993</v>
      </c>
      <c r="P25" s="152">
        <f t="shared" si="0"/>
        <v>93.81219087253714</v>
      </c>
      <c r="Q25" s="152">
        <f t="shared" si="1"/>
        <v>91.78900888163228</v>
      </c>
      <c r="R25" s="152">
        <f t="shared" si="2"/>
        <v>99.99776320273371</v>
      </c>
      <c r="T25" s="152">
        <f>Data_File!AD29</f>
        <v>93.81219087253714</v>
      </c>
      <c r="U25" s="152">
        <f>Data_File!R29</f>
        <v>91.78812014786894</v>
      </c>
      <c r="V25" s="152">
        <f>Data_File!U29</f>
        <v>100</v>
      </c>
      <c r="X25" s="153">
        <v>0</v>
      </c>
      <c r="Y25" s="153">
        <f t="shared" si="9"/>
        <v>9.374981256348016E-07</v>
      </c>
      <c r="Z25" s="153">
        <f t="shared" si="10"/>
        <v>5.003262010491369E-06</v>
      </c>
    </row>
    <row r="26" spans="1:26" ht="12.75">
      <c r="A26" s="147">
        <v>6</v>
      </c>
      <c r="B26" s="149">
        <f>Data_File!E30</f>
        <v>4750</v>
      </c>
      <c r="C26" s="149">
        <f>Data_File!F30</f>
        <v>5641.365083027334</v>
      </c>
      <c r="E26" s="149">
        <f t="shared" si="6"/>
        <v>0.9999109062154978</v>
      </c>
      <c r="H26" s="152">
        <f>Data_File!AB30</f>
        <v>37.006068791786916</v>
      </c>
      <c r="I26" s="149">
        <f t="shared" si="7"/>
        <v>37.00277178106871</v>
      </c>
      <c r="J26" s="152">
        <f t="shared" si="8"/>
        <v>0.00329701071820665</v>
      </c>
      <c r="L26" s="152">
        <f t="shared" si="3"/>
        <v>2.2803214066292425</v>
      </c>
      <c r="M26" s="152">
        <f t="shared" si="4"/>
        <v>3.0259011600336168</v>
      </c>
      <c r="N26" s="152">
        <f t="shared" si="5"/>
        <v>0.0008243009090259536</v>
      </c>
      <c r="P26" s="152">
        <f t="shared" si="0"/>
        <v>91.5318694659079</v>
      </c>
      <c r="Q26" s="152">
        <f t="shared" si="1"/>
        <v>88.76310772159867</v>
      </c>
      <c r="R26" s="152">
        <f t="shared" si="2"/>
        <v>99.99693890182468</v>
      </c>
      <c r="T26" s="152">
        <f>Data_File!AD30</f>
        <v>91.5318694659079</v>
      </c>
      <c r="U26" s="152">
        <f>Data_File!R30</f>
        <v>88.76189147310699</v>
      </c>
      <c r="V26" s="152">
        <f>Data_File!U30</f>
        <v>100</v>
      </c>
      <c r="X26" s="153">
        <v>0</v>
      </c>
      <c r="Y26" s="153">
        <f t="shared" si="9"/>
        <v>1.8775500932474655E-06</v>
      </c>
      <c r="Z26" s="153">
        <f t="shared" si="10"/>
        <v>9.370322038964213E-06</v>
      </c>
    </row>
    <row r="27" spans="1:26" ht="12.75">
      <c r="A27" s="147">
        <v>7</v>
      </c>
      <c r="B27" s="149">
        <f>Data_File!E31</f>
        <v>3350</v>
      </c>
      <c r="C27" s="149">
        <f>Data_File!F31</f>
        <v>3989.047505357639</v>
      </c>
      <c r="E27" s="149">
        <f t="shared" si="6"/>
        <v>0.9999109062154978</v>
      </c>
      <c r="H27" s="152">
        <f>Data_File!AB31</f>
        <v>38.531992962362004</v>
      </c>
      <c r="I27" s="149">
        <f t="shared" si="7"/>
        <v>38.528560001284575</v>
      </c>
      <c r="J27" s="152">
        <f t="shared" si="8"/>
        <v>0.0034329610774292973</v>
      </c>
      <c r="L27" s="152">
        <f t="shared" si="3"/>
        <v>2.3743491611208953</v>
      </c>
      <c r="M27" s="152">
        <f t="shared" si="4"/>
        <v>3.150672471027106</v>
      </c>
      <c r="N27" s="152">
        <f t="shared" si="5"/>
        <v>0.0008582904875465198</v>
      </c>
      <c r="P27" s="152">
        <f t="shared" si="0"/>
        <v>89.15752030478701</v>
      </c>
      <c r="Q27" s="152">
        <f t="shared" si="1"/>
        <v>85.61243525057156</v>
      </c>
      <c r="R27" s="152">
        <f t="shared" si="2"/>
        <v>99.99608061133713</v>
      </c>
      <c r="T27" s="152">
        <f>Data_File!AD31</f>
        <v>89.15752030478701</v>
      </c>
      <c r="U27" s="152">
        <f>Data_File!R31</f>
        <v>85.61087798246825</v>
      </c>
      <c r="V27" s="152">
        <f>Data_File!U31</f>
        <v>100</v>
      </c>
      <c r="X27" s="153">
        <v>0</v>
      </c>
      <c r="Y27" s="153">
        <f t="shared" si="9"/>
        <v>3.3087874861336204E-06</v>
      </c>
      <c r="Z27" s="153">
        <f t="shared" si="10"/>
        <v>1.53616074905965E-05</v>
      </c>
    </row>
    <row r="28" spans="1:26" ht="12.75">
      <c r="A28" s="147">
        <v>8</v>
      </c>
      <c r="B28" s="149">
        <f>Data_File!E32</f>
        <v>2360</v>
      </c>
      <c r="C28" s="149">
        <f>Data_File!F32</f>
        <v>2811.761014026619</v>
      </c>
      <c r="E28" s="149">
        <f t="shared" si="6"/>
        <v>0.9999109062154978</v>
      </c>
      <c r="H28" s="152">
        <f>Data_File!AB32</f>
        <v>44.1353025911734</v>
      </c>
      <c r="I28" s="149">
        <f t="shared" si="7"/>
        <v>44.1313704100354</v>
      </c>
      <c r="J28" s="152">
        <f t="shared" si="8"/>
        <v>0.003932181137997759</v>
      </c>
      <c r="L28" s="152">
        <f t="shared" si="3"/>
        <v>2.719626228145809</v>
      </c>
      <c r="M28" s="152">
        <f t="shared" si="4"/>
        <v>3.6088422161368845</v>
      </c>
      <c r="N28" s="152">
        <f t="shared" si="5"/>
        <v>0.0009831028054010419</v>
      </c>
      <c r="P28" s="152">
        <f t="shared" si="0"/>
        <v>86.4378940766412</v>
      </c>
      <c r="Q28" s="152">
        <f t="shared" si="1"/>
        <v>82.00359303443469</v>
      </c>
      <c r="R28" s="152">
        <f t="shared" si="2"/>
        <v>99.99509750853173</v>
      </c>
      <c r="T28" s="152">
        <f>Data_File!AD32</f>
        <v>86.4378940766412</v>
      </c>
      <c r="U28" s="152">
        <f>Data_File!R32</f>
        <v>82.001645155761</v>
      </c>
      <c r="V28" s="152">
        <f>Data_File!U32</f>
        <v>100</v>
      </c>
      <c r="X28" s="153">
        <v>0</v>
      </c>
      <c r="Y28" s="153">
        <f t="shared" si="9"/>
        <v>5.642592334351847E-06</v>
      </c>
      <c r="Z28" s="153">
        <f t="shared" si="10"/>
        <v>2.4034422596477977E-05</v>
      </c>
    </row>
    <row r="29" spans="1:26" ht="12.75">
      <c r="A29" s="147">
        <v>9</v>
      </c>
      <c r="B29" s="149">
        <f>Data_File!E33</f>
        <v>1700</v>
      </c>
      <c r="C29" s="149">
        <f>Data_File!F33</f>
        <v>2002.9977533686852</v>
      </c>
      <c r="E29" s="149">
        <f t="shared" si="6"/>
        <v>0.9999109062154972</v>
      </c>
      <c r="H29" s="152">
        <f>Data_File!AB33</f>
        <v>51.208141016325094</v>
      </c>
      <c r="I29" s="149">
        <f t="shared" si="7"/>
        <v>51.203578689244594</v>
      </c>
      <c r="J29" s="152">
        <f t="shared" si="8"/>
        <v>0.004562327080499529</v>
      </c>
      <c r="L29" s="152">
        <f t="shared" si="3"/>
        <v>3.1554559553521413</v>
      </c>
      <c r="M29" s="152">
        <f t="shared" si="4"/>
        <v>4.1871719521543085</v>
      </c>
      <c r="N29" s="152">
        <f t="shared" si="5"/>
        <v>0.00114064850895452</v>
      </c>
      <c r="P29" s="152">
        <f t="shared" si="0"/>
        <v>83.28243812128906</v>
      </c>
      <c r="Q29" s="152">
        <f t="shared" si="1"/>
        <v>77.81642108228037</v>
      </c>
      <c r="R29" s="152">
        <f t="shared" si="2"/>
        <v>99.99395686002278</v>
      </c>
      <c r="T29" s="152">
        <f>Data_File!AD33</f>
        <v>83.28243812128906</v>
      </c>
      <c r="U29" s="152">
        <f>Data_File!R33</f>
        <v>77.81401999631012</v>
      </c>
      <c r="V29" s="152">
        <f>Data_File!U33</f>
        <v>100</v>
      </c>
      <c r="X29" s="153">
        <v>0</v>
      </c>
      <c r="Y29" s="153">
        <f t="shared" si="9"/>
        <v>9.521375999231542E-06</v>
      </c>
      <c r="Z29" s="153">
        <f t="shared" si="10"/>
        <v>3.6519540784307445E-05</v>
      </c>
    </row>
    <row r="30" spans="1:26" ht="12.75">
      <c r="A30" s="147">
        <v>10</v>
      </c>
      <c r="B30" s="149">
        <f>Data_File!E34</f>
        <v>1180</v>
      </c>
      <c r="C30" s="149">
        <f>Data_File!F34</f>
        <v>1416.333294108417</v>
      </c>
      <c r="E30" s="149">
        <f t="shared" si="6"/>
        <v>0.9999109043028553</v>
      </c>
      <c r="H30" s="152">
        <f>Data_File!AB34</f>
        <v>66.9762043509912</v>
      </c>
      <c r="I30" s="149">
        <f t="shared" si="7"/>
        <v>66.97023705937244</v>
      </c>
      <c r="J30" s="152">
        <f t="shared" si="8"/>
        <v>0.005967291618759418</v>
      </c>
      <c r="L30" s="152">
        <f t="shared" si="3"/>
        <v>4.127087191445636</v>
      </c>
      <c r="M30" s="152">
        <f t="shared" si="4"/>
        <v>5.4764902263175435</v>
      </c>
      <c r="N30" s="152">
        <f t="shared" si="5"/>
        <v>0.0014919101956823058</v>
      </c>
      <c r="P30" s="152">
        <f t="shared" si="0"/>
        <v>79.15535092984342</v>
      </c>
      <c r="Q30" s="152">
        <f t="shared" si="1"/>
        <v>72.33993085596283</v>
      </c>
      <c r="R30" s="152">
        <f t="shared" si="2"/>
        <v>99.9924649498271</v>
      </c>
      <c r="T30" s="152">
        <f>Data_File!AD34</f>
        <v>79.15535092984342</v>
      </c>
      <c r="U30" s="152">
        <f>Data_File!R34</f>
        <v>72.33693701154729</v>
      </c>
      <c r="V30" s="152">
        <f>Data_File!U34</f>
        <v>99.99999996520201</v>
      </c>
      <c r="X30" s="153">
        <v>0</v>
      </c>
      <c r="Y30" s="153">
        <f t="shared" si="9"/>
        <v>1.712924509694947E-05</v>
      </c>
      <c r="Z30" s="153">
        <f t="shared" si="10"/>
        <v>5.677645673968561E-05</v>
      </c>
    </row>
    <row r="31" spans="1:26" ht="12.75">
      <c r="A31" s="147">
        <v>11</v>
      </c>
      <c r="B31" s="149">
        <f>Data_File!E35</f>
        <v>850</v>
      </c>
      <c r="C31" s="149">
        <f>Data_File!F35</f>
        <v>1001.4988766843426</v>
      </c>
      <c r="E31" s="149">
        <f t="shared" si="6"/>
        <v>0.9999022080017159</v>
      </c>
      <c r="H31" s="152">
        <f>Data_File!AB35</f>
        <v>78.82849164481641</v>
      </c>
      <c r="I31" s="149">
        <f t="shared" si="7"/>
        <v>78.82078284909674</v>
      </c>
      <c r="J31" s="152">
        <f t="shared" si="8"/>
        <v>0.007708795719665318</v>
      </c>
      <c r="L31" s="152">
        <f t="shared" si="3"/>
        <v>4.857427519830577</v>
      </c>
      <c r="M31" s="152">
        <f t="shared" si="4"/>
        <v>6.4455684473848684</v>
      </c>
      <c r="N31" s="152">
        <f t="shared" si="5"/>
        <v>0.0019273116960541296</v>
      </c>
      <c r="P31" s="152">
        <f t="shared" si="0"/>
        <v>74.29792341001284</v>
      </c>
      <c r="Q31" s="152">
        <f t="shared" si="1"/>
        <v>65.89436240857796</v>
      </c>
      <c r="R31" s="152">
        <f t="shared" si="2"/>
        <v>99.99053763813104</v>
      </c>
      <c r="T31" s="152">
        <f>Data_File!AD35</f>
        <v>74.29792341001284</v>
      </c>
      <c r="U31" s="152">
        <f>Data_File!R35</f>
        <v>65.89067320444717</v>
      </c>
      <c r="V31" s="152">
        <f>Data_File!U35</f>
        <v>99.99982153286184</v>
      </c>
      <c r="X31" s="153">
        <v>0</v>
      </c>
      <c r="Y31" s="153">
        <f t="shared" si="9"/>
        <v>3.134855182377621E-05</v>
      </c>
      <c r="Z31" s="153">
        <f t="shared" si="10"/>
        <v>8.619100901754836E-05</v>
      </c>
    </row>
    <row r="32" spans="1:26" ht="12.75">
      <c r="A32" s="147">
        <v>12</v>
      </c>
      <c r="B32" s="149">
        <f>Data_File!E36</f>
        <v>600</v>
      </c>
      <c r="C32" s="149">
        <f>Data_File!F36</f>
        <v>714.142842854285</v>
      </c>
      <c r="E32" s="149">
        <f t="shared" si="6"/>
        <v>0.9989377403327147</v>
      </c>
      <c r="H32" s="152">
        <f>Data_File!AB36</f>
        <v>100.60560872008355</v>
      </c>
      <c r="I32" s="149">
        <f t="shared" si="7"/>
        <v>100.49873943963752</v>
      </c>
      <c r="J32" s="152">
        <f t="shared" si="8"/>
        <v>0.10686928044603405</v>
      </c>
      <c r="L32" s="152">
        <f t="shared" si="3"/>
        <v>6.199337856775746</v>
      </c>
      <c r="M32" s="152">
        <f t="shared" si="4"/>
        <v>8.218283053268406</v>
      </c>
      <c r="N32" s="152">
        <f t="shared" si="5"/>
        <v>0.02671888342132286</v>
      </c>
      <c r="P32" s="152">
        <f t="shared" si="0"/>
        <v>68.0985855532371</v>
      </c>
      <c r="Q32" s="152">
        <f t="shared" si="1"/>
        <v>57.676079355309554</v>
      </c>
      <c r="R32" s="152">
        <f t="shared" si="2"/>
        <v>99.96381875470972</v>
      </c>
      <c r="T32" s="152">
        <f>Data_File!AD36</f>
        <v>68.0985855532371</v>
      </c>
      <c r="U32" s="152">
        <f>Data_File!R36</f>
        <v>57.671654723467675</v>
      </c>
      <c r="V32" s="152">
        <f>Data_File!U36</f>
        <v>99.97487177858507</v>
      </c>
      <c r="X32" s="153">
        <v>0</v>
      </c>
      <c r="Y32" s="153">
        <f t="shared" si="9"/>
        <v>5.886124664738211E-05</v>
      </c>
      <c r="Z32" s="153">
        <f t="shared" si="10"/>
        <v>0.00012223075790199976</v>
      </c>
    </row>
    <row r="33" spans="1:26" ht="12.75">
      <c r="A33" s="147">
        <v>13</v>
      </c>
      <c r="B33" s="149">
        <f>Data_File!E37</f>
        <v>425</v>
      </c>
      <c r="C33" s="149">
        <f>Data_File!F37</f>
        <v>504.9752469181039</v>
      </c>
      <c r="E33" s="149">
        <f t="shared" si="6"/>
        <v>0.9842448620682409</v>
      </c>
      <c r="H33" s="152">
        <f>Data_File!AB37</f>
        <v>122.86085817344622</v>
      </c>
      <c r="I33" s="149">
        <f t="shared" si="7"/>
        <v>120.92516840650929</v>
      </c>
      <c r="J33" s="152">
        <f t="shared" si="8"/>
        <v>1.9356897669369317</v>
      </c>
      <c r="L33" s="152">
        <f t="shared" si="3"/>
        <v>7.570710807085989</v>
      </c>
      <c r="M33" s="152">
        <f t="shared" si="4"/>
        <v>9.888654004717612</v>
      </c>
      <c r="N33" s="152">
        <f t="shared" si="5"/>
        <v>0.483950757474711</v>
      </c>
      <c r="P33" s="152">
        <f t="shared" si="0"/>
        <v>60.527874746151106</v>
      </c>
      <c r="Q33" s="152">
        <f t="shared" si="1"/>
        <v>47.78742535059194</v>
      </c>
      <c r="R33" s="152">
        <f t="shared" si="2"/>
        <v>99.479867997235</v>
      </c>
      <c r="T33" s="152">
        <f>Data_File!AD37</f>
        <v>60.527874746151106</v>
      </c>
      <c r="U33" s="152">
        <f>Data_File!R37</f>
        <v>47.78327761148839</v>
      </c>
      <c r="V33" s="152">
        <f>Data_File!U37</f>
        <v>99.48952441312622</v>
      </c>
      <c r="X33" s="153">
        <v>0</v>
      </c>
      <c r="Y33" s="153">
        <f t="shared" si="9"/>
        <v>7.534787175274673E-05</v>
      </c>
      <c r="Z33" s="153">
        <f t="shared" si="10"/>
        <v>9.42057072757858E-05</v>
      </c>
    </row>
    <row r="34" spans="1:26" ht="12.75">
      <c r="A34" s="147">
        <v>14</v>
      </c>
      <c r="B34" s="149">
        <f>Data_File!E38</f>
        <v>300</v>
      </c>
      <c r="C34" s="149">
        <f>Data_File!F38</f>
        <v>357.0714214271425</v>
      </c>
      <c r="E34" s="149">
        <f t="shared" si="6"/>
        <v>0.9234550934931933</v>
      </c>
      <c r="H34" s="152">
        <f>Data_File!AB38</f>
        <v>142.10559118476593</v>
      </c>
      <c r="I34" s="149">
        <f t="shared" si="7"/>
        <v>131.22813199343352</v>
      </c>
      <c r="J34" s="152">
        <f t="shared" si="8"/>
        <v>10.877459191332406</v>
      </c>
      <c r="L34" s="152">
        <f t="shared" si="3"/>
        <v>8.756575128354191</v>
      </c>
      <c r="M34" s="152">
        <f t="shared" si="4"/>
        <v>10.731178712161508</v>
      </c>
      <c r="N34" s="152">
        <f t="shared" si="5"/>
        <v>2.719523915950469</v>
      </c>
      <c r="P34" s="152">
        <f t="shared" si="0"/>
        <v>51.77129961779691</v>
      </c>
      <c r="Q34" s="152">
        <f t="shared" si="1"/>
        <v>37.05624663843043</v>
      </c>
      <c r="R34" s="152">
        <f t="shared" si="2"/>
        <v>96.76034408128453</v>
      </c>
      <c r="T34" s="152">
        <f>Data_File!AD38</f>
        <v>51.77129961779691</v>
      </c>
      <c r="U34" s="152">
        <f>Data_File!R38</f>
        <v>37.05410220176108</v>
      </c>
      <c r="V34" s="152">
        <f>Data_File!U38</f>
        <v>96.76340754749762</v>
      </c>
      <c r="X34" s="153">
        <v>0</v>
      </c>
      <c r="Y34" s="153">
        <f t="shared" si="9"/>
        <v>3.3492985374840016E-05</v>
      </c>
      <c r="Z34" s="153">
        <f t="shared" si="10"/>
        <v>1.0023141979207568E-05</v>
      </c>
    </row>
    <row r="35" spans="1:26" ht="12.75">
      <c r="A35" s="147">
        <v>15</v>
      </c>
      <c r="B35" s="149">
        <f>Data_File!E39</f>
        <v>212</v>
      </c>
      <c r="C35" s="149">
        <f>Data_File!F39</f>
        <v>252.19040425836982</v>
      </c>
      <c r="E35" s="149">
        <f t="shared" si="6"/>
        <v>0.8106073047595266</v>
      </c>
      <c r="H35" s="152">
        <f>Data_File!AB39</f>
        <v>143.62179265932855</v>
      </c>
      <c r="I35" s="149">
        <f t="shared" si="7"/>
        <v>116.42087425230987</v>
      </c>
      <c r="J35" s="152">
        <f t="shared" si="8"/>
        <v>27.200918407018676</v>
      </c>
      <c r="L35" s="152">
        <f t="shared" si="3"/>
        <v>8.850003768360809</v>
      </c>
      <c r="M35" s="152">
        <f t="shared" si="4"/>
        <v>9.520315411409912</v>
      </c>
      <c r="N35" s="152">
        <f t="shared" si="5"/>
        <v>6.800627503401686</v>
      </c>
      <c r="P35" s="152">
        <f t="shared" si="0"/>
        <v>42.921295849436106</v>
      </c>
      <c r="Q35" s="152">
        <f t="shared" si="1"/>
        <v>27.535931227020516</v>
      </c>
      <c r="R35" s="152">
        <f t="shared" si="2"/>
        <v>89.95971657788284</v>
      </c>
      <c r="T35" s="152">
        <f>Data_File!AD39</f>
        <v>42.921295849436106</v>
      </c>
      <c r="U35" s="152">
        <f>Data_File!R39</f>
        <v>27.53568088301884</v>
      </c>
      <c r="V35" s="152">
        <f>Data_File!U39</f>
        <v>89.95683050765915</v>
      </c>
      <c r="X35" s="153">
        <v>0</v>
      </c>
      <c r="Y35" s="153">
        <f t="shared" si="9"/>
        <v>8.265759030926319E-07</v>
      </c>
      <c r="Z35" s="153">
        <f t="shared" si="10"/>
        <v>1.0293083539896368E-05</v>
      </c>
    </row>
    <row r="36" spans="1:26" ht="12.75">
      <c r="A36" s="147">
        <v>16</v>
      </c>
      <c r="B36" s="149">
        <f>Data_File!E40</f>
        <v>150</v>
      </c>
      <c r="C36" s="149">
        <f>Data_File!F40</f>
        <v>178.3255450012701</v>
      </c>
      <c r="E36" s="149">
        <f t="shared" si="6"/>
        <v>0.6831043918035733</v>
      </c>
      <c r="H36" s="152">
        <f>Data_File!AB40</f>
        <v>125.60444204086568</v>
      </c>
      <c r="I36" s="149">
        <f t="shared" si="7"/>
        <v>85.80094598815272</v>
      </c>
      <c r="J36" s="152">
        <f t="shared" si="8"/>
        <v>39.80349605271296</v>
      </c>
      <c r="L36" s="152">
        <f t="shared" si="3"/>
        <v>7.7397709971580495</v>
      </c>
      <c r="M36" s="152">
        <f t="shared" si="4"/>
        <v>7.016371193315901</v>
      </c>
      <c r="N36" s="152">
        <f t="shared" si="5"/>
        <v>9.95145626839475</v>
      </c>
      <c r="P36" s="152">
        <f t="shared" si="0"/>
        <v>35.18152485227806</v>
      </c>
      <c r="Q36" s="152">
        <f t="shared" si="1"/>
        <v>20.519560033704614</v>
      </c>
      <c r="R36" s="152">
        <f t="shared" si="2"/>
        <v>80.0082603094881</v>
      </c>
      <c r="T36" s="152">
        <f>Data_File!AD40</f>
        <v>35.18152485227806</v>
      </c>
      <c r="U36" s="152">
        <f>Data_File!R40</f>
        <v>20.51979557395499</v>
      </c>
      <c r="V36" s="152">
        <f>Data_File!U40</f>
        <v>80.00406052116821</v>
      </c>
      <c r="X36" s="153">
        <v>0</v>
      </c>
      <c r="Y36" s="153">
        <f t="shared" si="9"/>
        <v>1.3176018775686173E-06</v>
      </c>
      <c r="Z36" s="153">
        <f t="shared" si="10"/>
        <v>2.7556924310587374E-05</v>
      </c>
    </row>
    <row r="37" spans="1:26" ht="12.75">
      <c r="A37" s="147">
        <v>17</v>
      </c>
      <c r="B37" s="149">
        <f>Data_File!E41</f>
        <v>106</v>
      </c>
      <c r="C37" s="149">
        <f>Data_File!F41</f>
        <v>126.09520212918491</v>
      </c>
      <c r="E37" s="149">
        <f t="shared" si="6"/>
        <v>0.5749238745202124</v>
      </c>
      <c r="H37" s="152">
        <f>Data_File!AB41</f>
        <v>98.96507340230846</v>
      </c>
      <c r="I37" s="149">
        <f t="shared" si="7"/>
        <v>56.8973834426324</v>
      </c>
      <c r="J37" s="152">
        <f t="shared" si="8"/>
        <v>42.06768995967606</v>
      </c>
      <c r="L37" s="152">
        <f t="shared" si="3"/>
        <v>6.098247740327492</v>
      </c>
      <c r="M37" s="152">
        <f t="shared" si="4"/>
        <v>4.652782758561403</v>
      </c>
      <c r="N37" s="152">
        <f t="shared" si="5"/>
        <v>10.517537866314425</v>
      </c>
      <c r="P37" s="152">
        <f t="shared" si="0"/>
        <v>29.083277111950565</v>
      </c>
      <c r="Q37" s="152">
        <f t="shared" si="1"/>
        <v>15.866777275143212</v>
      </c>
      <c r="R37" s="152">
        <f t="shared" si="2"/>
        <v>69.49072244317367</v>
      </c>
      <c r="T37" s="152">
        <f>Data_File!AD41</f>
        <v>29.083277111950565</v>
      </c>
      <c r="U37" s="152">
        <f>Data_File!R41</f>
        <v>15.866664937489144</v>
      </c>
      <c r="V37" s="152">
        <f>Data_File!U41</f>
        <v>69.48792920763029</v>
      </c>
      <c r="X37" s="153">
        <v>0</v>
      </c>
      <c r="Y37" s="153">
        <f t="shared" si="9"/>
        <v>5.012788708829794E-07</v>
      </c>
      <c r="Z37" s="153">
        <f t="shared" si="10"/>
        <v>1.615832653433529E-05</v>
      </c>
    </row>
    <row r="38" spans="1:26" ht="12.75">
      <c r="A38" s="147">
        <v>18</v>
      </c>
      <c r="B38" s="149">
        <f>Data_File!E42</f>
        <v>75</v>
      </c>
      <c r="C38" s="149">
        <f>Data_File!F42</f>
        <v>89.16277250063504</v>
      </c>
      <c r="E38" s="149">
        <f t="shared" si="6"/>
        <v>0.49738362767544964</v>
      </c>
      <c r="H38" s="152">
        <f>Data_File!AB42</f>
        <v>73.2478549504957</v>
      </c>
      <c r="I38" s="149">
        <f t="shared" si="7"/>
        <v>36.43228381472269</v>
      </c>
      <c r="J38" s="152">
        <f t="shared" si="8"/>
        <v>36.815571135773006</v>
      </c>
      <c r="L38" s="152">
        <f t="shared" si="3"/>
        <v>4.513547563592035</v>
      </c>
      <c r="M38" s="152">
        <f t="shared" si="4"/>
        <v>2.979249514330826</v>
      </c>
      <c r="N38" s="152">
        <f t="shared" si="5"/>
        <v>9.204431331067713</v>
      </c>
      <c r="P38" s="152">
        <f t="shared" si="0"/>
        <v>24.56972954835853</v>
      </c>
      <c r="Q38" s="152">
        <f t="shared" si="1"/>
        <v>12.887527760812386</v>
      </c>
      <c r="R38" s="152">
        <f t="shared" si="2"/>
        <v>60.28629111210596</v>
      </c>
      <c r="T38" s="152">
        <f>Data_File!AD42</f>
        <v>24.56972954835853</v>
      </c>
      <c r="U38" s="152">
        <f>Data_File!R42</f>
        <v>12.886983804886427</v>
      </c>
      <c r="V38" s="152">
        <f>Data_File!U42</f>
        <v>60.285181515648254</v>
      </c>
      <c r="X38" s="153">
        <v>0</v>
      </c>
      <c r="Y38" s="153">
        <f t="shared" si="9"/>
        <v>1.781660121252658E-05</v>
      </c>
      <c r="Z38" s="153">
        <f t="shared" si="10"/>
        <v>3.3877314619988194E-06</v>
      </c>
    </row>
    <row r="39" spans="1:26" ht="12.75">
      <c r="A39" s="147">
        <v>19</v>
      </c>
      <c r="B39" s="149">
        <f>Data_File!E43</f>
        <v>53</v>
      </c>
      <c r="C39" s="149">
        <f>Data_File!F43</f>
        <v>63.047601064592456</v>
      </c>
      <c r="E39" s="149">
        <f t="shared" si="6"/>
        <v>0.44696564973066566</v>
      </c>
      <c r="H39" s="152">
        <f>Data_File!AB43</f>
        <v>53.991370769107945</v>
      </c>
      <c r="I39" s="149">
        <f t="shared" si="7"/>
        <v>24.132288115663602</v>
      </c>
      <c r="J39" s="152">
        <f t="shared" si="8"/>
        <v>29.859082653444343</v>
      </c>
      <c r="L39" s="152">
        <f t="shared" si="3"/>
        <v>3.3269591328592516</v>
      </c>
      <c r="M39" s="152">
        <f t="shared" si="4"/>
        <v>1.9734175330295474</v>
      </c>
      <c r="N39" s="152">
        <f t="shared" si="5"/>
        <v>7.4652074492809</v>
      </c>
      <c r="P39" s="152">
        <f t="shared" si="0"/>
        <v>21.24277041549928</v>
      </c>
      <c r="Q39" s="152">
        <f t="shared" si="1"/>
        <v>10.914110227782839</v>
      </c>
      <c r="R39" s="152">
        <f t="shared" si="2"/>
        <v>52.82108366282505</v>
      </c>
      <c r="T39" s="152">
        <f>Data_File!AD43</f>
        <v>21.24277041549928</v>
      </c>
      <c r="U39" s="152">
        <f>Data_File!R43</f>
        <v>10.913305160330482</v>
      </c>
      <c r="V39" s="152">
        <f>Data_File!U43</f>
        <v>52.82109354856149</v>
      </c>
      <c r="X39" s="153">
        <v>0</v>
      </c>
      <c r="Y39" s="153">
        <f t="shared" si="9"/>
        <v>5.4419173283042356E-05</v>
      </c>
      <c r="Z39" s="153">
        <f t="shared" si="10"/>
        <v>3.502702716194754E-10</v>
      </c>
    </row>
    <row r="40" spans="1:26" ht="12.75">
      <c r="A40" s="147">
        <v>20</v>
      </c>
      <c r="B40" s="149">
        <f>Data_File!E44</f>
        <v>38</v>
      </c>
      <c r="C40" s="149">
        <f>Data_File!F44</f>
        <v>44.87761134463375</v>
      </c>
      <c r="E40" s="149">
        <f t="shared" si="6"/>
        <v>0.41642411683103414</v>
      </c>
      <c r="H40" s="152">
        <f>Data_File!AB44</f>
        <v>38.978383227931275</v>
      </c>
      <c r="I40" s="149">
        <f t="shared" si="7"/>
        <v>16.231538811192873</v>
      </c>
      <c r="J40" s="152">
        <f t="shared" si="8"/>
        <v>22.7468444167384</v>
      </c>
      <c r="L40" s="152">
        <f t="shared" si="3"/>
        <v>2.4018558191238237</v>
      </c>
      <c r="M40" s="152">
        <f t="shared" si="4"/>
        <v>1.3273338659199398</v>
      </c>
      <c r="N40" s="152">
        <f t="shared" si="5"/>
        <v>5.6870438505545</v>
      </c>
      <c r="P40" s="152">
        <f>L41</f>
        <v>18.840914596375455</v>
      </c>
      <c r="Q40" s="152">
        <f>M41</f>
        <v>9.5867763618629</v>
      </c>
      <c r="R40" s="152">
        <f>N41</f>
        <v>47.13403981227055</v>
      </c>
      <c r="T40" s="152">
        <f>Data_File!AD44</f>
        <v>18.840914596375455</v>
      </c>
      <c r="U40" s="152">
        <f>Data_File!R44</f>
        <v>9.585874747648997</v>
      </c>
      <c r="V40" s="152">
        <f>Data_File!U44</f>
        <v>47.134599867857155</v>
      </c>
      <c r="X40" s="153">
        <v>0</v>
      </c>
      <c r="Y40" s="153">
        <f t="shared" si="9"/>
        <v>8.846632761210951E-05</v>
      </c>
      <c r="Z40" s="153">
        <f t="shared" si="10"/>
        <v>1.4118306896645232E-06</v>
      </c>
    </row>
    <row r="41" spans="1:35" ht="12.75">
      <c r="A41" s="147">
        <v>21</v>
      </c>
      <c r="B41" s="149">
        <v>0</v>
      </c>
      <c r="C41" s="149">
        <f>Data_File!F45</f>
        <v>19</v>
      </c>
      <c r="E41" s="149">
        <f t="shared" si="6"/>
        <v>0.38341866182655565</v>
      </c>
      <c r="H41" s="152">
        <f>Data_File!AB45</f>
        <v>305.75873191678306</v>
      </c>
      <c r="I41" s="149">
        <f t="shared" si="7"/>
        <v>117.23360383331753</v>
      </c>
      <c r="J41" s="152">
        <f t="shared" si="8"/>
        <v>188.52512808346552</v>
      </c>
      <c r="L41" s="152">
        <f t="shared" si="3"/>
        <v>18.840914596375455</v>
      </c>
      <c r="M41" s="152">
        <f t="shared" si="4"/>
        <v>9.5867763618629</v>
      </c>
      <c r="N41" s="152">
        <f t="shared" si="5"/>
        <v>47.13403981227055</v>
      </c>
      <c r="T41" s="152"/>
      <c r="U41" s="152"/>
      <c r="V41" s="152"/>
      <c r="X41" s="153"/>
      <c r="Y41" s="153"/>
      <c r="Z41" s="153"/>
      <c r="AG41" s="152"/>
      <c r="AI41" s="152"/>
    </row>
    <row r="42" spans="24:29" ht="12.75">
      <c r="X42" s="153"/>
      <c r="Y42" s="153"/>
      <c r="Z42" s="153"/>
      <c r="AB42" s="154" t="s">
        <v>120</v>
      </c>
      <c r="AC42" s="154"/>
    </row>
    <row r="43" spans="7:35" ht="12.75">
      <c r="G43" s="155" t="s">
        <v>13</v>
      </c>
      <c r="H43" s="152">
        <f>SUM(H22:H41)</f>
        <v>1622.8444237818678</v>
      </c>
      <c r="I43" s="152">
        <f>SUM(I22:I41)</f>
        <v>1222.8678276014018</v>
      </c>
      <c r="J43" s="152">
        <f>SUM(J22:J41)</f>
        <v>399.9765961804661</v>
      </c>
      <c r="L43" s="152">
        <f>SUM(L22:L41)</f>
        <v>100.00000000000001</v>
      </c>
      <c r="M43" s="152">
        <f>SUM(M22:M41)</f>
        <v>100</v>
      </c>
      <c r="N43" s="152">
        <f>SUM(N22:N41)</f>
        <v>100</v>
      </c>
      <c r="T43" s="152"/>
      <c r="U43" s="152"/>
      <c r="V43" s="152"/>
      <c r="X43" s="153"/>
      <c r="Y43" s="153">
        <f>AVERAGE(Y22:Y40)/Y20</f>
        <v>2.1113161235283262E-05</v>
      </c>
      <c r="Z43" s="153">
        <f>AVERAGE(Z22:Z40)/Z20</f>
        <v>2.7392339431796663E-05</v>
      </c>
      <c r="AB43" s="156">
        <f>(Y43*Y20+Z43*Z20)/(Y20+Z20)</f>
        <v>2.425275033353996E-05</v>
      </c>
      <c r="AC43" s="157"/>
      <c r="AG43" s="152"/>
      <c r="AH43" s="152"/>
      <c r="AI43" s="152"/>
    </row>
  </sheetData>
  <sheetProtection password="CD50" sheet="1" objects="1" scenarios="1" insertColumns="0" insertRows="0"/>
  <mergeCells count="5">
    <mergeCell ref="H17:J17"/>
    <mergeCell ref="T17:V17"/>
    <mergeCell ref="X17:Z17"/>
    <mergeCell ref="L17:N17"/>
    <mergeCell ref="P17:R17"/>
  </mergeCells>
  <printOptions gridLines="1"/>
  <pageMargins left="0" right="0"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Levi Guzman</cp:lastModifiedBy>
  <cp:lastPrinted>2006-09-20T15:34:54Z</cp:lastPrinted>
  <dcterms:created xsi:type="dcterms:W3CDTF">1999-02-02T17:19:59Z</dcterms:created>
  <dcterms:modified xsi:type="dcterms:W3CDTF">2009-07-11T21:03:15Z</dcterms:modified>
  <cp:category/>
  <cp:version/>
  <cp:contentType/>
  <cp:contentStatus/>
</cp:coreProperties>
</file>