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65521" windowWidth="8835" windowHeight="6180" activeTab="2"/>
  </bookViews>
  <sheets>
    <sheet name="About ..." sheetId="1" r:id="rId1"/>
    <sheet name="Control_Panel" sheetId="2" r:id="rId2"/>
    <sheet name="Data_File" sheetId="3" r:id="rId3"/>
    <sheet name="Reports" sheetId="4" r:id="rId4"/>
    <sheet name="Model" sheetId="5" r:id="rId5"/>
  </sheets>
  <externalReferences>
    <externalReference r:id="rId8"/>
    <externalReference r:id="rId9"/>
  </externalReferences>
  <definedNames>
    <definedName name="Actual" localSheetId="0">'[2]Data_File'!#REF!</definedName>
    <definedName name="Actual">'Data_File'!#REF!</definedName>
    <definedName name="_xlnm.Print_Area" localSheetId="0">'About ...'!$B$1:$L$165</definedName>
    <definedName name="_xlnm.Print_Area" localSheetId="1">'Control_Panel'!$B$1:$Q$58</definedName>
    <definedName name="_xlnm.Print_Area" localSheetId="2">'Data_File'!$B$2:$S$50</definedName>
    <definedName name="_xlnm.Print_Area" localSheetId="3">'Reports'!$A$1:$K$54</definedName>
    <definedName name="BIJ" localSheetId="0">'[1]J&amp;T'!$B$35:$Z$59</definedName>
    <definedName name="BIJ">'Model'!$B$89:$U$108</definedName>
    <definedName name="Delta" localSheetId="0">'[2]Data_File'!#REF!</definedName>
    <definedName name="Delta">'Data_File'!#REF!</definedName>
    <definedName name="Guess" localSheetId="0">'[2]Data_File'!#REF!</definedName>
    <definedName name="Guess">'Data_File'!#REF!</definedName>
    <definedName name="I" localSheetId="0">'[1]J&amp;T'!$A$66:$A$90</definedName>
    <definedName name="I">'Model'!$A$60:$A$79</definedName>
    <definedName name="J" localSheetId="0">'[1]J&amp;T'!$B$65:$Z$65</definedName>
    <definedName name="J">'Model'!$B$59:$U$59</definedName>
    <definedName name="SIE" localSheetId="0">'[1]J&amp;T'!$B$95:$Z$95</definedName>
    <definedName name="SIE">'Model'!$B$84:$U$84</definedName>
    <definedName name="solver_adj" localSheetId="1" hidden="1">'Control_Panel'!$E$10,'Control_Panel'!$E$11,'Control_Panel'!$E$13</definedName>
    <definedName name="solver_adj" localSheetId="2" hidden="1">'Control_Panel'!$E$10,'Control_Panel'!$E$11,'Control_Panel'!$E$13</definedName>
    <definedName name="solver_adj" localSheetId="3" hidden="1">'Reports'!$A$13:$C$13</definedName>
    <definedName name="solver_cvg" localSheetId="1" hidden="1">0.001</definedName>
    <definedName name="solver_cvg" localSheetId="2" hidden="1">0.001</definedName>
    <definedName name="solver_drv" localSheetId="1" hidden="1">1</definedName>
    <definedName name="solver_drv" localSheetId="2" hidden="1">1</definedName>
    <definedName name="solver_drv" localSheetId="3" hidden="1">1</definedName>
    <definedName name="solver_est" localSheetId="1" hidden="1">1</definedName>
    <definedName name="solver_est" localSheetId="2" hidden="1">1</definedName>
    <definedName name="solver_est" localSheetId="3" hidden="1">1</definedName>
    <definedName name="solver_itr" localSheetId="1" hidden="1">100</definedName>
    <definedName name="solver_itr" localSheetId="2" hidden="1">15</definedName>
    <definedName name="solver_itr" localSheetId="3" hidden="1">100</definedName>
    <definedName name="solver_lhs1" localSheetId="1" hidden="1">'Control_Panel'!$E$15</definedName>
    <definedName name="solver_lhs2" localSheetId="1" hidden="1">'Control_Panel'!$E$10</definedName>
    <definedName name="solver_lin" localSheetId="1" hidden="1">2</definedName>
    <definedName name="solver_lin" localSheetId="2" hidden="1">2</definedName>
    <definedName name="solver_lin" localSheetId="3" hidden="1">0</definedName>
    <definedName name="solver_neg" localSheetId="1" hidden="1">2</definedName>
    <definedName name="solver_neg" localSheetId="2" hidden="1">2</definedName>
    <definedName name="solver_num" localSheetId="1" hidden="1">0</definedName>
    <definedName name="solver_num" localSheetId="2" hidden="1">0</definedName>
    <definedName name="solver_num" localSheetId="3" hidden="1">0</definedName>
    <definedName name="solver_nwt" localSheetId="1" hidden="1">1</definedName>
    <definedName name="solver_nwt" localSheetId="2" hidden="1">1</definedName>
    <definedName name="solver_nwt" localSheetId="3" hidden="1">1</definedName>
    <definedName name="solver_opt" localSheetId="1" hidden="1">'Control_Panel'!$E$27</definedName>
    <definedName name="solver_opt" localSheetId="2" hidden="1">'Control_Panel'!#REF!</definedName>
    <definedName name="solver_opt" localSheetId="3" hidden="1">'Reports'!$E$29</definedName>
    <definedName name="solver_pre" localSheetId="1" hidden="1">0.000001</definedName>
    <definedName name="solver_pre" localSheetId="2" hidden="1">0.000001</definedName>
    <definedName name="solver_pre" localSheetId="3" hidden="1">0.000001</definedName>
    <definedName name="solver_rel1" localSheetId="1" hidden="1">3</definedName>
    <definedName name="solver_rel2" localSheetId="1" hidden="1">3</definedName>
    <definedName name="solver_rhs1" localSheetId="1" hidden="1">0</definedName>
    <definedName name="solver_rhs2" localSheetId="1" hidden="1">0</definedName>
    <definedName name="solver_scl" localSheetId="1" hidden="1">1</definedName>
    <definedName name="solver_scl" localSheetId="2" hidden="1">2</definedName>
    <definedName name="solver_scl" localSheetId="3" hidden="1">0</definedName>
    <definedName name="solver_sho" localSheetId="1" hidden="1">2</definedName>
    <definedName name="solver_sho" localSheetId="2" hidden="1">2</definedName>
    <definedName name="solver_sho" localSheetId="3" hidden="1">0</definedName>
    <definedName name="solver_tim" localSheetId="1" hidden="1">200</definedName>
    <definedName name="solver_tim" localSheetId="2" hidden="1">300</definedName>
    <definedName name="solver_tim" localSheetId="3" hidden="1">100</definedName>
    <definedName name="solver_tol" localSheetId="1" hidden="1">0.05</definedName>
    <definedName name="solver_tol" localSheetId="2" hidden="1">0.05</definedName>
    <definedName name="solver_tol" localSheetId="3" hidden="1">0.05</definedName>
    <definedName name="solver_typ" localSheetId="1" hidden="1">2</definedName>
    <definedName name="solver_typ" localSheetId="2" hidden="1">2</definedName>
    <definedName name="solver_typ" localSheetId="3" hidden="1">2</definedName>
    <definedName name="solver_val" localSheetId="1" hidden="1">0</definedName>
    <definedName name="solver_val" localSheetId="2" hidden="1">0</definedName>
    <definedName name="solver_val" localSheetId="3" hidden="1">0</definedName>
    <definedName name="TIJ" localSheetId="0">'[1]J&amp;T'!$B$66:$Z$90</definedName>
    <definedName name="TIJ">'Model'!$B$60:$U$79</definedName>
    <definedName name="TIJINV" localSheetId="0">'[1]J&amp;T'!$B$100:$U$119</definedName>
    <definedName name="TIJINV">'Model'!$B$115:$U$134</definedName>
  </definedNames>
  <calcPr fullCalcOnLoad="1"/>
</workbook>
</file>

<file path=xl/comments2.xml><?xml version="1.0" encoding="utf-8"?>
<comments xmlns="http://schemas.openxmlformats.org/spreadsheetml/2006/main">
  <authors>
    <author>Jaime E. Sep?lveda J.</author>
  </authors>
  <commentList>
    <comment ref="E27" authorId="0">
      <text>
        <r>
          <rPr>
            <sz val="8"/>
            <rFont val="Tahoma"/>
            <family val="2"/>
          </rPr>
          <t xml:space="preserve">To minimize this value, use </t>
        </r>
        <r>
          <rPr>
            <b/>
            <sz val="8"/>
            <rFont val="Tahoma"/>
            <family val="2"/>
          </rPr>
          <t>Tools / Solver / Min</t>
        </r>
        <r>
          <rPr>
            <sz val="8"/>
            <rFont val="Tahoma"/>
            <family val="2"/>
          </rPr>
          <t xml:space="preserve">, by changing any combination of </t>
        </r>
        <r>
          <rPr>
            <sz val="8"/>
            <color indexed="10"/>
            <rFont val="Tahoma"/>
            <family val="2"/>
          </rPr>
          <t>Cells E10:E24</t>
        </r>
        <r>
          <rPr>
            <sz val="8"/>
            <rFont val="Tahoma"/>
            <family val="2"/>
          </rPr>
          <t>.</t>
        </r>
      </text>
    </comment>
  </commentList>
</comments>
</file>

<file path=xl/comments3.xml><?xml version="1.0" encoding="utf-8"?>
<comments xmlns="http://schemas.openxmlformats.org/spreadsheetml/2006/main">
  <authors>
    <author>Jaime E. Sep?lveda J.</author>
    <author>jsepulveda</author>
  </authors>
  <commentList>
    <comment ref="E13" authorId="0">
      <text>
        <r>
          <rPr>
            <b/>
            <sz val="8"/>
            <rFont val="Tahoma"/>
            <family val="2"/>
          </rPr>
          <t>Rotational Mill Speed</t>
        </r>
        <r>
          <rPr>
            <sz val="8"/>
            <rFont val="Tahoma"/>
            <family val="2"/>
          </rPr>
          <t>, expressed as a percentage of the critical centrifugation speed of the mill.</t>
        </r>
      </text>
    </comment>
    <comment ref="F13" authorId="1">
      <text>
        <r>
          <rPr>
            <sz val="8"/>
            <rFont val="Tahoma"/>
            <family val="2"/>
          </rPr>
          <t xml:space="preserve">See </t>
        </r>
        <r>
          <rPr>
            <b/>
            <sz val="8"/>
            <rFont val="Tahoma"/>
            <family val="0"/>
          </rPr>
          <t xml:space="preserve">Mill Power_Ball Mills </t>
        </r>
        <r>
          <rPr>
            <sz val="8"/>
            <rFont val="Tahoma"/>
            <family val="2"/>
          </rPr>
          <t>for further details.</t>
        </r>
      </text>
    </comment>
    <comment ref="G13" authorId="1">
      <text>
        <r>
          <rPr>
            <sz val="8"/>
            <rFont val="Tahoma"/>
            <family val="2"/>
          </rPr>
          <t xml:space="preserve">See </t>
        </r>
        <r>
          <rPr>
            <b/>
            <sz val="8"/>
            <rFont val="Tahoma"/>
            <family val="0"/>
          </rPr>
          <t xml:space="preserve">Mill Power_Ball Mills </t>
        </r>
        <r>
          <rPr>
            <sz val="8"/>
            <rFont val="Tahoma"/>
            <family val="2"/>
          </rPr>
          <t>for further details.</t>
        </r>
      </text>
    </comment>
    <comment ref="K13" authorId="1">
      <text>
        <r>
          <rPr>
            <sz val="8"/>
            <rFont val="Tahoma"/>
            <family val="2"/>
          </rPr>
          <t xml:space="preserve">Actual measurement of the </t>
        </r>
        <r>
          <rPr>
            <b/>
            <sz val="8"/>
            <rFont val="Tahoma"/>
            <family val="0"/>
          </rPr>
          <t>Net Mill Power Draw</t>
        </r>
        <r>
          <rPr>
            <sz val="8"/>
            <rFont val="Tahoma"/>
            <family val="2"/>
          </rPr>
          <t xml:space="preserve">, 
i. e. discounting all losses. </t>
        </r>
      </text>
    </comment>
    <comment ref="Q28" authorId="1">
      <text>
        <r>
          <rPr>
            <sz val="8"/>
            <rFont val="Tahoma"/>
            <family val="2"/>
          </rPr>
          <t xml:space="preserve">User defined </t>
        </r>
        <r>
          <rPr>
            <b/>
            <sz val="8"/>
            <rFont val="Tahoma"/>
            <family val="2"/>
          </rPr>
          <t>Weighting Factor</t>
        </r>
        <r>
          <rPr>
            <sz val="8"/>
            <rFont val="Tahoma"/>
            <family val="2"/>
          </rPr>
          <t xml:space="preserve">, included to represent the relative quality and reliability of this particular measurement with respect to the rest of the available data.
At the extreme, a value equal to </t>
        </r>
        <r>
          <rPr>
            <u val="single"/>
            <sz val="8"/>
            <rFont val="Tahoma"/>
            <family val="2"/>
          </rPr>
          <t>zero</t>
        </r>
        <r>
          <rPr>
            <sz val="8"/>
            <rFont val="Tahoma"/>
            <family val="2"/>
          </rPr>
          <t xml:space="preserve"> means that this measurement is not included in the </t>
        </r>
        <r>
          <rPr>
            <b/>
            <sz val="8"/>
            <rFont val="Tahoma"/>
            <family val="2"/>
          </rPr>
          <t>Objective Function</t>
        </r>
        <r>
          <rPr>
            <sz val="8"/>
            <rFont val="Tahoma"/>
            <family val="2"/>
          </rPr>
          <t xml:space="preserve"> calculation.</t>
        </r>
      </text>
    </comment>
    <comment ref="H27"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E27"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J27" authorId="1">
      <text>
        <r>
          <rPr>
            <sz val="8"/>
            <rFont val="Tahoma"/>
            <family val="2"/>
          </rPr>
          <t xml:space="preserve">The top </t>
        </r>
        <r>
          <rPr>
            <b/>
            <sz val="8"/>
            <rFont val="Tahoma"/>
            <family val="2"/>
          </rPr>
          <t>Mesh Opening</t>
        </r>
        <r>
          <rPr>
            <sz val="8"/>
            <rFont val="Tahoma"/>
            <family val="2"/>
          </rPr>
          <t xml:space="preserve"> must </t>
        </r>
        <r>
          <rPr>
            <u val="single"/>
            <sz val="8"/>
            <rFont val="Tahoma"/>
            <family val="2"/>
          </rPr>
          <t>always</t>
        </r>
        <r>
          <rPr>
            <sz val="8"/>
            <rFont val="Tahoma"/>
            <family val="2"/>
          </rPr>
          <t xml:space="preserve"> be defined to allow </t>
        </r>
        <r>
          <rPr>
            <b/>
            <sz val="8"/>
            <rFont val="Tahoma"/>
            <family val="2"/>
          </rPr>
          <t>100%</t>
        </r>
        <r>
          <rPr>
            <sz val="8"/>
            <rFont val="Tahoma"/>
            <family val="2"/>
          </rPr>
          <t xml:space="preserve"> of the material passing through such screen.</t>
        </r>
      </text>
    </comment>
    <comment ref="H13" authorId="1">
      <text>
        <r>
          <rPr>
            <sz val="8"/>
            <rFont val="Tahoma"/>
            <family val="2"/>
          </rPr>
          <t xml:space="preserve">See </t>
        </r>
        <r>
          <rPr>
            <b/>
            <sz val="8"/>
            <rFont val="Tahoma"/>
            <family val="0"/>
          </rPr>
          <t xml:space="preserve">Mill Power_Ball Mills </t>
        </r>
        <r>
          <rPr>
            <sz val="8"/>
            <rFont val="Tahoma"/>
            <family val="2"/>
          </rPr>
          <t>for further details.</t>
        </r>
      </text>
    </comment>
    <comment ref="N13" authorId="1">
      <text>
        <r>
          <rPr>
            <sz val="8"/>
            <rFont val="Tahoma"/>
            <family val="2"/>
          </rPr>
          <t xml:space="preserve">See </t>
        </r>
        <r>
          <rPr>
            <b/>
            <sz val="8"/>
            <rFont val="Tahoma"/>
            <family val="0"/>
          </rPr>
          <t xml:space="preserve">Mill Power_Ball Mills </t>
        </r>
        <r>
          <rPr>
            <sz val="8"/>
            <rFont val="Tahoma"/>
            <family val="2"/>
          </rPr>
          <t>for further details.</t>
        </r>
      </text>
    </comment>
    <comment ref="O13" authorId="1">
      <text>
        <r>
          <rPr>
            <sz val="8"/>
            <rFont val="Tahoma"/>
            <family val="2"/>
          </rPr>
          <t xml:space="preserve">See </t>
        </r>
        <r>
          <rPr>
            <b/>
            <sz val="8"/>
            <rFont val="Tahoma"/>
            <family val="0"/>
          </rPr>
          <t xml:space="preserve">Mill Power_Ball Mills </t>
        </r>
        <r>
          <rPr>
            <sz val="8"/>
            <rFont val="Tahoma"/>
            <family val="2"/>
          </rPr>
          <t>for further details.</t>
        </r>
      </text>
    </comment>
    <comment ref="P13" authorId="1">
      <text>
        <r>
          <rPr>
            <sz val="8"/>
            <rFont val="Tahoma"/>
            <family val="2"/>
          </rPr>
          <t xml:space="preserve">See </t>
        </r>
        <r>
          <rPr>
            <b/>
            <sz val="8"/>
            <rFont val="Tahoma"/>
            <family val="0"/>
          </rPr>
          <t xml:space="preserve">Mill Power_Ball Mills </t>
        </r>
        <r>
          <rPr>
            <sz val="8"/>
            <rFont val="Tahoma"/>
            <family val="2"/>
          </rPr>
          <t>for further details.</t>
        </r>
      </text>
    </comment>
    <comment ref="Q19" authorId="1">
      <text>
        <r>
          <rPr>
            <sz val="8"/>
            <rFont val="Tahoma"/>
            <family val="2"/>
          </rPr>
          <t xml:space="preserve">See </t>
        </r>
        <r>
          <rPr>
            <b/>
            <sz val="8"/>
            <rFont val="Tahoma"/>
            <family val="0"/>
          </rPr>
          <t xml:space="preserve">Mill Power_Ball Mills </t>
        </r>
        <r>
          <rPr>
            <sz val="8"/>
            <rFont val="Tahoma"/>
            <family val="2"/>
          </rPr>
          <t>for further details.</t>
        </r>
      </text>
    </comment>
    <comment ref="E22" authorId="1">
      <text>
        <r>
          <rPr>
            <sz val="8"/>
            <rFont val="Tahoma"/>
            <family val="2"/>
          </rPr>
          <t xml:space="preserve">See </t>
        </r>
        <r>
          <rPr>
            <b/>
            <sz val="8"/>
            <rFont val="Tahoma"/>
            <family val="0"/>
          </rPr>
          <t xml:space="preserve">Mill Power_Ball Mills </t>
        </r>
        <r>
          <rPr>
            <sz val="8"/>
            <rFont val="Tahoma"/>
            <family val="2"/>
          </rPr>
          <t>for further details.</t>
        </r>
      </text>
    </comment>
  </commentList>
</comments>
</file>

<file path=xl/sharedStrings.xml><?xml version="1.0" encoding="utf-8"?>
<sst xmlns="http://schemas.openxmlformats.org/spreadsheetml/2006/main" count="246" uniqueCount="165">
  <si>
    <t>Mesh</t>
  </si>
  <si>
    <t>Opening</t>
  </si>
  <si>
    <t>i</t>
  </si>
  <si>
    <t>Selection Function :</t>
  </si>
  <si>
    <t>alpha2</t>
  </si>
  <si>
    <t>dcrit</t>
  </si>
  <si>
    <t>Mid-Size</t>
  </si>
  <si>
    <t>SiE</t>
  </si>
  <si>
    <t>Breakage Function :</t>
  </si>
  <si>
    <t>Beta1</t>
  </si>
  <si>
    <t>Beta2</t>
  </si>
  <si>
    <t>Ebar</t>
  </si>
  <si>
    <t>Matrix J</t>
  </si>
  <si>
    <t>Matrix T</t>
  </si>
  <si>
    <t>Vector SiE</t>
  </si>
  <si>
    <t>Matrix bij</t>
  </si>
  <si>
    <t>Matrix Tij (inverse)</t>
  </si>
  <si>
    <t>Mill</t>
  </si>
  <si>
    <t>Feed</t>
  </si>
  <si>
    <t>Matrix T (inverse)</t>
  </si>
  <si>
    <t>Matrix T*J</t>
  </si>
  <si>
    <t>Matrix [T*J*T(inv.)]</t>
  </si>
  <si>
    <t>Discharge</t>
  </si>
  <si>
    <t>% Solids (by weight)</t>
  </si>
  <si>
    <t>Remarks</t>
  </si>
  <si>
    <t>Mill Dimensions and Operating Conditions</t>
  </si>
  <si>
    <t>% Critical</t>
  </si>
  <si>
    <t>Speed</t>
  </si>
  <si>
    <t>%</t>
  </si>
  <si>
    <t>ft</t>
  </si>
  <si>
    <t>ton/m3</t>
  </si>
  <si>
    <t>Cummulative</t>
  </si>
  <si>
    <t>Partial</t>
  </si>
  <si>
    <t>Selection</t>
  </si>
  <si>
    <t>Breakage</t>
  </si>
  <si>
    <t>Remarks :</t>
  </si>
  <si>
    <t xml:space="preserve">  % Solids (by weight)</t>
  </si>
  <si>
    <t xml:space="preserve">  D80, microns</t>
  </si>
  <si>
    <t>Test N°</t>
  </si>
  <si>
    <t>Feed Size Distributions</t>
  </si>
  <si>
    <t>Mill Feed</t>
  </si>
  <si>
    <t>Objective Function</t>
  </si>
  <si>
    <r>
      <t>w</t>
    </r>
    <r>
      <rPr>
        <vertAlign val="subscript"/>
        <sz val="9.5"/>
        <rFont val="Arial"/>
        <family val="2"/>
      </rPr>
      <t>i</t>
    </r>
  </si>
  <si>
    <t>% Ret</t>
  </si>
  <si>
    <t>% Pass</t>
  </si>
  <si>
    <t>sum</t>
  </si>
  <si>
    <t>Exp</t>
  </si>
  <si>
    <t>Adj.</t>
  </si>
  <si>
    <t>Beta00</t>
  </si>
  <si>
    <t>Beta01</t>
  </si>
  <si>
    <t>Beta0J</t>
  </si>
  <si>
    <t>alpha01</t>
  </si>
  <si>
    <t>alpha02</t>
  </si>
  <si>
    <t>alpha11</t>
  </si>
  <si>
    <t>alpha12</t>
  </si>
  <si>
    <t>DESIGN AND OPERATING CONDITIONS</t>
  </si>
  <si>
    <t>Configuration : BATCH</t>
  </si>
  <si>
    <t xml:space="preserve">  Grinding Time, min</t>
  </si>
  <si>
    <t xml:space="preserve">  Water, lt</t>
  </si>
  <si>
    <t xml:space="preserve">  Ore, kg</t>
  </si>
  <si>
    <t xml:space="preserve">  Slurry, kg</t>
  </si>
  <si>
    <t xml:space="preserve">  Slurry, lt</t>
  </si>
  <si>
    <t xml:space="preserve">  Slurry Dens., kg/lt</t>
  </si>
  <si>
    <t xml:space="preserve">  Speed, % Critical</t>
  </si>
  <si>
    <t xml:space="preserve">  App. Dens., ton/m3</t>
  </si>
  <si>
    <t>Particle Size Distributions (Cumm. % Passing)</t>
  </si>
  <si>
    <t>Exp.</t>
  </si>
  <si>
    <t>/</t>
  </si>
  <si>
    <t>MODEL PARAMETERS</t>
  </si>
  <si>
    <t xml:space="preserve"> </t>
  </si>
  <si>
    <t>BALL_PARAM</t>
  </si>
  <si>
    <t>Ball Mill Grinding Model Parameter Estimator</t>
  </si>
  <si>
    <t>Error</t>
  </si>
  <si>
    <r>
      <t xml:space="preserve">About the </t>
    </r>
    <r>
      <rPr>
        <b/>
        <i/>
        <sz val="10"/>
        <color indexed="18"/>
        <rFont val="Arial"/>
        <family val="2"/>
      </rPr>
      <t>BallParam_Batch</t>
    </r>
    <r>
      <rPr>
        <i/>
        <sz val="10"/>
        <color indexed="18"/>
        <rFont val="Arial"/>
        <family val="2"/>
      </rPr>
      <t xml:space="preserve"> Spreadsheet ...</t>
    </r>
  </si>
  <si>
    <r>
      <t xml:space="preserve">(*) Suggested Default Values : </t>
    </r>
    <r>
      <rPr>
        <b/>
        <sz val="8.5"/>
        <rFont val="Arial"/>
        <family val="2"/>
      </rPr>
      <t>alpha02 = 0</t>
    </r>
    <r>
      <rPr>
        <sz val="10"/>
        <rFont val="Arial"/>
        <family val="0"/>
      </rPr>
      <t xml:space="preserve"> and </t>
    </r>
    <r>
      <rPr>
        <b/>
        <sz val="10"/>
        <rFont val="Arial"/>
        <family val="2"/>
      </rPr>
      <t>beta01 = 0</t>
    </r>
    <r>
      <rPr>
        <sz val="10"/>
        <rFont val="Arial"/>
        <family val="0"/>
      </rPr>
      <t>.</t>
    </r>
  </si>
  <si>
    <r>
      <t xml:space="preserve">Moly-Cop Tools </t>
    </r>
    <r>
      <rPr>
        <vertAlign val="superscript"/>
        <sz val="12"/>
        <color indexed="18"/>
        <rFont val="Comic Sans MS"/>
        <family val="4"/>
      </rPr>
      <t>TM</t>
    </r>
  </si>
  <si>
    <r>
      <t xml:space="preserve">BALLPARAM_BATCH : </t>
    </r>
    <r>
      <rPr>
        <b/>
        <sz val="12"/>
        <color indexed="8"/>
        <rFont val="Arial"/>
        <family val="2"/>
      </rPr>
      <t>Estimation of Grinding Parameters from Laboratory Data</t>
    </r>
  </si>
  <si>
    <r>
      <t xml:space="preserve">Mill Disch. </t>
    </r>
    <r>
      <rPr>
        <i/>
        <sz val="9.5"/>
        <rFont val="Arial"/>
        <family val="2"/>
      </rPr>
      <t>(adj)</t>
    </r>
  </si>
  <si>
    <t xml:space="preserve"> Base Case Example</t>
  </si>
  <si>
    <r>
      <t xml:space="preserve">Mill Disch. </t>
    </r>
    <r>
      <rPr>
        <i/>
        <sz val="9.5"/>
        <rFont val="Arial"/>
        <family val="2"/>
      </rPr>
      <t>(exp)</t>
    </r>
  </si>
  <si>
    <r>
      <t>BALLPARAM_BATCH</t>
    </r>
    <r>
      <rPr>
        <b/>
        <sz val="12"/>
        <color indexed="8"/>
        <rFont val="Arial"/>
        <family val="2"/>
      </rPr>
      <t xml:space="preserve"> : Estimation of Grinding Parameters from Laboratory Data</t>
    </r>
  </si>
  <si>
    <t xml:space="preserve">   alpha0</t>
  </si>
  <si>
    <t xml:space="preserve">   alpha1</t>
  </si>
  <si>
    <t xml:space="preserve">   alpha2</t>
  </si>
  <si>
    <t xml:space="preserve">   Dcrit</t>
  </si>
  <si>
    <t xml:space="preserve">   alpha02</t>
  </si>
  <si>
    <t xml:space="preserve">   alpha12</t>
  </si>
  <si>
    <t xml:space="preserve">   beta0</t>
  </si>
  <si>
    <t xml:space="preserve">   beta1</t>
  </si>
  <si>
    <t xml:space="preserve">   beta2</t>
  </si>
  <si>
    <t xml:space="preserve">   beta01</t>
  </si>
  <si>
    <r>
      <t>Note</t>
    </r>
    <r>
      <rPr>
        <sz val="10"/>
        <color indexed="9"/>
        <rFont val="Arial"/>
        <family val="2"/>
      </rPr>
      <t xml:space="preserve"> : Current calculations are not valid, if SOLVER has not been run after the last data modification.</t>
    </r>
  </si>
  <si>
    <t xml:space="preserve"> Expanded Form</t>
  </si>
  <si>
    <t>BREAKAGE FUNCTION :</t>
  </si>
  <si>
    <t>SELECTION FUNCTION :</t>
  </si>
  <si>
    <t xml:space="preserve">  alpha01</t>
  </si>
  <si>
    <t xml:space="preserve">  alpha02</t>
  </si>
  <si>
    <t xml:space="preserve">  alpha11</t>
  </si>
  <si>
    <t xml:space="preserve">  alpha12</t>
  </si>
  <si>
    <t xml:space="preserve">  alpha2</t>
  </si>
  <si>
    <t xml:space="preserve">  Dcrit</t>
  </si>
  <si>
    <t xml:space="preserve">  beta00</t>
  </si>
  <si>
    <t xml:space="preserve">  beta01</t>
  </si>
  <si>
    <t xml:space="preserve">  beta1</t>
  </si>
  <si>
    <t xml:space="preserve">  beta2</t>
  </si>
  <si>
    <t xml:space="preserve">  Obj. Function</t>
  </si>
  <si>
    <r>
      <t xml:space="preserve">BALLPARAM_Batch : </t>
    </r>
    <r>
      <rPr>
        <b/>
        <sz val="12"/>
        <color indexed="8"/>
        <rFont val="Arial"/>
        <family val="2"/>
      </rPr>
      <t>Summary of Parameter Search Results</t>
    </r>
  </si>
  <si>
    <t>(*) To bring values from the above Control_Panel table proceed as follows :</t>
  </si>
  <si>
    <r>
      <t xml:space="preserve">     1. Select all cells in the range </t>
    </r>
    <r>
      <rPr>
        <b/>
        <sz val="10"/>
        <rFont val="Arial"/>
        <family val="2"/>
      </rPr>
      <t>E5:E27</t>
    </r>
    <r>
      <rPr>
        <sz val="10"/>
        <rFont val="Arial"/>
        <family val="0"/>
      </rPr>
      <t xml:space="preserve">. </t>
    </r>
  </si>
  <si>
    <r>
      <t xml:space="preserve">     4. Use the </t>
    </r>
    <r>
      <rPr>
        <b/>
        <sz val="10"/>
        <rFont val="Arial"/>
        <family val="2"/>
      </rPr>
      <t>Paste Special_Paste Values</t>
    </r>
    <r>
      <rPr>
        <sz val="10"/>
        <rFont val="Arial"/>
        <family val="0"/>
      </rPr>
      <t xml:space="preserve"> command.</t>
    </r>
  </si>
  <si>
    <r>
      <t xml:space="preserve">     3. Select a convenient cell in the range </t>
    </r>
    <r>
      <rPr>
        <b/>
        <sz val="10"/>
        <rFont val="Arial"/>
        <family val="2"/>
      </rPr>
      <t xml:space="preserve">E35:M35 </t>
    </r>
    <r>
      <rPr>
        <sz val="10"/>
        <rFont val="Arial"/>
        <family val="2"/>
      </rPr>
      <t>for every different data set being analyzed.</t>
    </r>
  </si>
  <si>
    <t>Value</t>
  </si>
  <si>
    <t>Dev.</t>
  </si>
  <si>
    <t>Coeff.</t>
  </si>
  <si>
    <t>of Var.</t>
  </si>
  <si>
    <t>Std.</t>
  </si>
  <si>
    <t>Ave.</t>
  </si>
  <si>
    <t>kW</t>
  </si>
  <si>
    <t>Slurry</t>
  </si>
  <si>
    <t xml:space="preserve">  ton/m3</t>
  </si>
  <si>
    <t xml:space="preserve">  kg</t>
  </si>
  <si>
    <t>Slurry Weight,</t>
  </si>
  <si>
    <t>Ore Density,</t>
  </si>
  <si>
    <t>Ore Weight,</t>
  </si>
  <si>
    <t>Slurry Density,</t>
  </si>
  <si>
    <t>Slurry Volume,</t>
  </si>
  <si>
    <t xml:space="preserve">  liters</t>
  </si>
  <si>
    <t xml:space="preserve">  %</t>
  </si>
  <si>
    <t>Balls Weight,</t>
  </si>
  <si>
    <t>Balls Density,</t>
  </si>
  <si>
    <t>Mill Volume,</t>
  </si>
  <si>
    <t>Charge</t>
  </si>
  <si>
    <t>Density,</t>
  </si>
  <si>
    <t>Balls</t>
  </si>
  <si>
    <t>Filling, %</t>
  </si>
  <si>
    <t>Interstitial</t>
  </si>
  <si>
    <t>Slurry Filling,%</t>
  </si>
  <si>
    <t>Overfilling,</t>
  </si>
  <si>
    <t xml:space="preserve">  min</t>
  </si>
  <si>
    <t xml:space="preserve">  kWh/ton</t>
  </si>
  <si>
    <t>Balls Energy,</t>
  </si>
  <si>
    <t>Grinding Time,</t>
  </si>
  <si>
    <t>Total Energy,</t>
  </si>
  <si>
    <t>App.</t>
  </si>
  <si>
    <t xml:space="preserve">  Balls Filling, %</t>
  </si>
  <si>
    <t xml:space="preserve">  Power, kW</t>
  </si>
  <si>
    <t xml:space="preserve">  Energy, kWh/ton</t>
  </si>
  <si>
    <t>Overfilling</t>
  </si>
  <si>
    <t>Power Decomposition, kW</t>
  </si>
  <si>
    <t>Net</t>
  </si>
  <si>
    <t>Power</t>
  </si>
  <si>
    <t>rpm</t>
  </si>
  <si>
    <t>Balls Volume (app.),</t>
  </si>
  <si>
    <t>Voids Fraction,</t>
  </si>
  <si>
    <t xml:space="preserve">  °/1</t>
  </si>
  <si>
    <t>Eff. Diam.</t>
  </si>
  <si>
    <t>Eff. Length</t>
  </si>
  <si>
    <t xml:space="preserve">  Eff. Diameter, ft</t>
  </si>
  <si>
    <t xml:space="preserve">  Eff. Length, ft</t>
  </si>
  <si>
    <t>% Passing</t>
  </si>
  <si>
    <r>
      <t>w</t>
    </r>
    <r>
      <rPr>
        <vertAlign val="subscript"/>
        <sz val="9.5"/>
        <rFont val="Arial"/>
        <family val="2"/>
      </rPr>
      <t xml:space="preserve">i </t>
    </r>
    <r>
      <rPr>
        <sz val="9.5"/>
        <rFont val="Arial"/>
        <family val="2"/>
      </rPr>
      <t>(error)^2</t>
    </r>
  </si>
  <si>
    <r>
      <t xml:space="preserve">Moly-Cop Tools </t>
    </r>
    <r>
      <rPr>
        <vertAlign val="superscript"/>
        <sz val="12"/>
        <color indexed="18"/>
        <rFont val="Comic Sans MS"/>
        <family val="4"/>
      </rPr>
      <t xml:space="preserve">TM   </t>
    </r>
    <r>
      <rPr>
        <sz val="12"/>
        <color indexed="18"/>
        <rFont val="Comic Sans MS"/>
        <family val="4"/>
      </rPr>
      <t>(Version 2.0)</t>
    </r>
  </si>
  <si>
    <t>Moly-Cop Tools, Version 2.0</t>
  </si>
  <si>
    <r>
      <t>Moly-Cop Tools</t>
    </r>
    <r>
      <rPr>
        <vertAlign val="superscript"/>
        <sz val="10"/>
        <rFont val="Arial"/>
        <family val="2"/>
      </rPr>
      <t>TM</t>
    </r>
    <r>
      <rPr>
        <sz val="10"/>
        <rFont val="Arial"/>
        <family val="2"/>
      </rPr>
      <t>, Version 2.0</t>
    </r>
  </si>
  <si>
    <r>
      <t xml:space="preserve">     2. Use the </t>
    </r>
    <r>
      <rPr>
        <b/>
        <sz val="10"/>
        <rFont val="Arial"/>
        <family val="2"/>
      </rPr>
      <t>Copy</t>
    </r>
    <r>
      <rPr>
        <sz val="10"/>
        <rFont val="Arial"/>
        <family val="0"/>
      </rPr>
      <t xml:space="preserve"> or </t>
    </r>
    <r>
      <rPr>
        <b/>
        <sz val="10"/>
        <rFont val="Arial"/>
        <family val="2"/>
      </rPr>
      <t>Control_C</t>
    </r>
    <r>
      <rPr>
        <sz val="10"/>
        <rFont val="Arial"/>
        <family val="0"/>
      </rPr>
      <t xml:space="preserve"> commands.</t>
    </r>
  </si>
</sst>
</file>

<file path=xl/styles.xml><?xml version="1.0" encoding="utf-8"?>
<styleSheet xmlns="http://schemas.openxmlformats.org/spreadsheetml/2006/main">
  <numFmts count="4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00000"/>
    <numFmt numFmtId="179" formatCode="0.000"/>
    <numFmt numFmtId="180" formatCode="0.0"/>
    <numFmt numFmtId="181" formatCode="0.0000"/>
    <numFmt numFmtId="182" formatCode="0.00_);[Red]\(0.00\)"/>
    <numFmt numFmtId="183" formatCode="0.000_);[Red]\(0.000\)"/>
    <numFmt numFmtId="184" formatCode="0.00;[Red]0.00"/>
    <numFmt numFmtId="185" formatCode="0.000000"/>
    <numFmt numFmtId="186" formatCode="0.0000000"/>
    <numFmt numFmtId="187" formatCode="0.00\ \ "/>
    <numFmt numFmtId="188" formatCode="0.0\ \ "/>
    <numFmt numFmtId="189" formatCode="0\ \ "/>
    <numFmt numFmtId="190" formatCode="0.00000_);[Red]\(0.00000\)"/>
    <numFmt numFmtId="191" formatCode="0.0000000000000"/>
    <numFmt numFmtId="192" formatCode="0.00000000"/>
    <numFmt numFmtId="193" formatCode="0.000000000000"/>
    <numFmt numFmtId="194" formatCode="0.000\ \ "/>
    <numFmt numFmtId="195" formatCode="#,##0_)\ ;\(#,##0\)\ "/>
  </numFmts>
  <fonts count="41">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sz val="13"/>
      <name val="Arial"/>
      <family val="2"/>
    </font>
    <font>
      <i/>
      <sz val="9.5"/>
      <name val="Arial"/>
      <family val="2"/>
    </font>
    <font>
      <vertAlign val="subscript"/>
      <sz val="9.5"/>
      <name val="Arial"/>
      <family val="2"/>
    </font>
    <font>
      <sz val="9.5"/>
      <name val="Arial"/>
      <family val="2"/>
    </font>
    <font>
      <b/>
      <sz val="9.5"/>
      <name val="Arial"/>
      <family val="2"/>
    </font>
    <font>
      <sz val="16"/>
      <name val="Arial"/>
      <family val="0"/>
    </font>
    <font>
      <sz val="10.25"/>
      <name val="Arial"/>
      <family val="2"/>
    </font>
    <font>
      <sz val="21.75"/>
      <name val="Arial"/>
      <family val="0"/>
    </font>
    <font>
      <b/>
      <sz val="10.25"/>
      <name val="Arial"/>
      <family val="2"/>
    </font>
    <font>
      <sz val="10"/>
      <color indexed="8"/>
      <name val="Arial"/>
      <family val="2"/>
    </font>
    <font>
      <b/>
      <i/>
      <sz val="10"/>
      <color indexed="18"/>
      <name val="Arial"/>
      <family val="2"/>
    </font>
    <font>
      <i/>
      <sz val="10"/>
      <color indexed="18"/>
      <name val="Arial"/>
      <family val="2"/>
    </font>
    <font>
      <b/>
      <sz val="8.5"/>
      <name val="Arial"/>
      <family val="2"/>
    </font>
    <font>
      <sz val="12"/>
      <color indexed="18"/>
      <name val="Comic Sans MS"/>
      <family val="4"/>
    </font>
    <font>
      <vertAlign val="superscript"/>
      <sz val="12"/>
      <color indexed="18"/>
      <name val="Comic Sans MS"/>
      <family val="4"/>
    </font>
    <font>
      <b/>
      <sz val="12"/>
      <color indexed="18"/>
      <name val="Arial"/>
      <family val="2"/>
    </font>
    <font>
      <b/>
      <sz val="12"/>
      <color indexed="8"/>
      <name val="Arial"/>
      <family val="2"/>
    </font>
    <font>
      <b/>
      <sz val="8"/>
      <name val="Tahoma"/>
      <family val="2"/>
    </font>
    <font>
      <sz val="8"/>
      <name val="Tahoma"/>
      <family val="2"/>
    </font>
    <font>
      <u val="single"/>
      <sz val="8"/>
      <name val="Tahoma"/>
      <family val="2"/>
    </font>
    <font>
      <sz val="10"/>
      <color indexed="55"/>
      <name val="Arial"/>
      <family val="2"/>
    </font>
    <font>
      <b/>
      <sz val="10"/>
      <color indexed="9"/>
      <name val="Arial"/>
      <family val="2"/>
    </font>
    <font>
      <sz val="10"/>
      <color indexed="9"/>
      <name val="Arial"/>
      <family val="2"/>
    </font>
    <font>
      <sz val="8"/>
      <color indexed="10"/>
      <name val="Tahoma"/>
      <family val="2"/>
    </font>
    <font>
      <b/>
      <sz val="10"/>
      <color indexed="18"/>
      <name val="Arial"/>
      <family val="2"/>
    </font>
    <font>
      <vertAlign val="subscript"/>
      <sz val="10"/>
      <name val="Arial"/>
      <family val="2"/>
    </font>
    <font>
      <sz val="10"/>
      <name val="Symbol"/>
      <family val="1"/>
    </font>
    <font>
      <b/>
      <vertAlign val="subscript"/>
      <sz val="10"/>
      <name val="Arial"/>
      <family val="2"/>
    </font>
    <font>
      <sz val="14"/>
      <name val="Symbol"/>
      <family val="1"/>
    </font>
    <font>
      <vertAlign val="superscript"/>
      <sz val="10"/>
      <name val="Arial"/>
      <family val="2"/>
    </font>
    <font>
      <vertAlign val="superscript"/>
      <sz val="10"/>
      <name val="Symbol"/>
      <family val="1"/>
    </font>
    <font>
      <sz val="12"/>
      <name val="Symbol"/>
      <family val="1"/>
    </font>
    <font>
      <b/>
      <sz val="10"/>
      <color indexed="10"/>
      <name val="Arial"/>
      <family val="2"/>
    </font>
    <font>
      <u val="single"/>
      <sz val="10"/>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8"/>
        <bgColor indexed="64"/>
      </patternFill>
    </fill>
  </fills>
  <borders count="5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medium"/>
    </border>
    <border>
      <left>
        <color indexed="63"/>
      </left>
      <right style="double">
        <color indexed="10"/>
      </right>
      <top>
        <color indexed="63"/>
      </top>
      <bottom>
        <color indexed="63"/>
      </bottom>
    </border>
    <border>
      <left style="thin"/>
      <right style="thin"/>
      <top style="thin"/>
      <bottom style="thin"/>
    </border>
    <border>
      <left>
        <color indexed="63"/>
      </left>
      <right style="double">
        <color indexed="10"/>
      </right>
      <top>
        <color indexed="63"/>
      </top>
      <bottom style="double">
        <color indexed="10"/>
      </bottom>
    </border>
    <border>
      <left>
        <color indexed="63"/>
      </left>
      <right>
        <color indexed="63"/>
      </right>
      <top>
        <color indexed="63"/>
      </top>
      <bottom style="double">
        <color indexed="10"/>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style="double">
        <color indexed="10"/>
      </left>
      <right>
        <color indexed="63"/>
      </right>
      <top>
        <color indexed="63"/>
      </top>
      <bottom style="double">
        <color indexed="10"/>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color indexed="18"/>
      </left>
      <right>
        <color indexed="63"/>
      </right>
      <top>
        <color indexed="63"/>
      </top>
      <bottom>
        <color indexed="63"/>
      </bottom>
    </border>
    <border>
      <left>
        <color indexed="63"/>
      </left>
      <right style="double">
        <color indexed="18"/>
      </right>
      <top>
        <color indexed="63"/>
      </top>
      <bottom>
        <color indexed="63"/>
      </bottom>
    </border>
    <border>
      <left style="double">
        <color indexed="18"/>
      </left>
      <right style="thin"/>
      <top style="thin"/>
      <bottom>
        <color indexed="63"/>
      </bottom>
    </border>
    <border>
      <left style="double">
        <color indexed="18"/>
      </left>
      <right style="thin"/>
      <top>
        <color indexed="63"/>
      </top>
      <bottom>
        <color indexed="63"/>
      </bottom>
    </border>
    <border>
      <left style="double">
        <color indexed="18"/>
      </left>
      <right style="thin"/>
      <top>
        <color indexed="63"/>
      </top>
      <bottom style="thin"/>
    </border>
    <border>
      <left style="thin"/>
      <right style="double">
        <color indexed="18"/>
      </right>
      <top style="thin"/>
      <bottom style="thin"/>
    </border>
    <border>
      <left style="thin"/>
      <right style="double">
        <color indexed="18"/>
      </right>
      <top style="thin"/>
      <bottom>
        <color indexed="63"/>
      </bottom>
    </border>
    <border>
      <left style="thin"/>
      <right style="double">
        <color indexed="18"/>
      </right>
      <top>
        <color indexed="63"/>
      </top>
      <bottom>
        <color indexed="63"/>
      </bottom>
    </border>
    <border>
      <left style="thin"/>
      <right style="double">
        <color indexed="18"/>
      </right>
      <top>
        <color indexed="63"/>
      </top>
      <bottom style="thin"/>
    </border>
    <border>
      <left style="double">
        <color indexed="18"/>
      </left>
      <right>
        <color indexed="63"/>
      </right>
      <top style="double">
        <color indexed="18"/>
      </top>
      <bottom>
        <color indexed="63"/>
      </bottom>
    </border>
    <border>
      <left>
        <color indexed="63"/>
      </left>
      <right>
        <color indexed="63"/>
      </right>
      <top style="double">
        <color indexed="18"/>
      </top>
      <bottom>
        <color indexed="63"/>
      </bottom>
    </border>
    <border>
      <left>
        <color indexed="63"/>
      </left>
      <right style="double">
        <color indexed="18"/>
      </right>
      <top style="double">
        <color indexed="18"/>
      </top>
      <bottom>
        <color indexed="63"/>
      </bottom>
    </border>
    <border>
      <left style="double">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color indexed="63"/>
      </top>
      <bottom style="double">
        <color indexed="18"/>
      </bottom>
    </border>
    <border>
      <left style="double">
        <color indexed="18"/>
      </left>
      <right style="double">
        <color indexed="18"/>
      </right>
      <top style="double">
        <color indexed="18"/>
      </top>
      <bottom>
        <color indexed="63"/>
      </bottom>
    </border>
    <border>
      <left style="double">
        <color indexed="18"/>
      </left>
      <right style="double">
        <color indexed="18"/>
      </right>
      <top>
        <color indexed="63"/>
      </top>
      <bottom>
        <color indexed="63"/>
      </bottom>
    </border>
    <border>
      <left style="double">
        <color indexed="18"/>
      </left>
      <right style="double">
        <color indexed="18"/>
      </right>
      <top style="thin">
        <color indexed="8"/>
      </top>
      <bottom style="double">
        <color indexed="18"/>
      </bottom>
    </border>
    <border>
      <left style="double">
        <color indexed="18"/>
      </left>
      <right style="double">
        <color indexed="18"/>
      </right>
      <top style="thin">
        <color indexed="8"/>
      </top>
      <bottom>
        <color indexed="63"/>
      </bottom>
    </border>
    <border>
      <left style="double">
        <color indexed="18"/>
      </left>
      <right style="double">
        <color indexed="18"/>
      </right>
      <top>
        <color indexed="63"/>
      </top>
      <bottom style="thin">
        <color indexed="8"/>
      </bottom>
    </border>
    <border>
      <left style="double">
        <color indexed="18"/>
      </left>
      <right style="double">
        <color indexed="18"/>
      </right>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medium"/>
    </border>
    <border>
      <left style="thin"/>
      <right>
        <color indexed="63"/>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top style="thin"/>
      <bottom style="thin"/>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178" fontId="0" fillId="0" borderId="0" xfId="0" applyNumberFormat="1" applyAlignment="1">
      <alignment/>
    </xf>
    <xf numFmtId="179" fontId="0" fillId="0" borderId="0" xfId="0" applyNumberFormat="1" applyAlignment="1">
      <alignment/>
    </xf>
    <xf numFmtId="0" fontId="0" fillId="0" borderId="0" xfId="0" applyAlignment="1">
      <alignment horizontal="right"/>
    </xf>
    <xf numFmtId="0" fontId="0" fillId="0" borderId="0" xfId="0" applyAlignment="1">
      <alignment horizontal="center"/>
    </xf>
    <xf numFmtId="180" fontId="0" fillId="0" borderId="0" xfId="0" applyNumberFormat="1" applyAlignment="1">
      <alignment/>
    </xf>
    <xf numFmtId="2" fontId="0" fillId="0" borderId="0" xfId="0" applyNumberFormat="1" applyAlignment="1">
      <alignment/>
    </xf>
    <xf numFmtId="0" fontId="0" fillId="0" borderId="0" xfId="0" applyAlignment="1">
      <alignment horizontal="left"/>
    </xf>
    <xf numFmtId="0" fontId="0" fillId="0" borderId="1" xfId="0" applyBorder="1" applyAlignment="1">
      <alignment/>
    </xf>
    <xf numFmtId="180" fontId="0" fillId="0" borderId="1" xfId="0" applyNumberFormat="1" applyBorder="1" applyAlignment="1">
      <alignment/>
    </xf>
    <xf numFmtId="0" fontId="0" fillId="0" borderId="2" xfId="0" applyBorder="1" applyAlignment="1">
      <alignment vertical="center"/>
    </xf>
    <xf numFmtId="1" fontId="0" fillId="0" borderId="2" xfId="0" applyNumberFormat="1" applyBorder="1" applyAlignment="1">
      <alignment vertical="center"/>
    </xf>
    <xf numFmtId="0" fontId="4" fillId="0" borderId="0" xfId="0" applyFont="1" applyAlignment="1">
      <alignment/>
    </xf>
    <xf numFmtId="0" fontId="0" fillId="0" borderId="0" xfId="0" applyBorder="1" applyAlignment="1">
      <alignment/>
    </xf>
    <xf numFmtId="0" fontId="1" fillId="0" borderId="0" xfId="0" applyFont="1" applyAlignment="1">
      <alignment horizontal="right"/>
    </xf>
    <xf numFmtId="0" fontId="1" fillId="0" borderId="0" xfId="0" applyFont="1" applyAlignment="1">
      <alignment/>
    </xf>
    <xf numFmtId="2" fontId="1" fillId="2" borderId="3" xfId="0" applyNumberFormat="1" applyFont="1" applyFill="1" applyBorder="1" applyAlignment="1">
      <alignment/>
    </xf>
    <xf numFmtId="0" fontId="0" fillId="0" borderId="1" xfId="0" applyBorder="1" applyAlignment="1">
      <alignment horizontal="left"/>
    </xf>
    <xf numFmtId="180" fontId="0" fillId="0" borderId="0" xfId="0" applyNumberFormat="1" applyAlignment="1">
      <alignment horizontal="left"/>
    </xf>
    <xf numFmtId="179" fontId="0" fillId="0" borderId="0" xfId="0" applyNumberFormat="1" applyAlignment="1">
      <alignment horizontal="left"/>
    </xf>
    <xf numFmtId="0" fontId="1" fillId="0" borderId="1" xfId="0" applyFont="1" applyBorder="1" applyAlignment="1">
      <alignment horizontal="left"/>
    </xf>
    <xf numFmtId="0" fontId="1" fillId="0" borderId="1" xfId="0" applyFont="1" applyBorder="1" applyAlignment="1">
      <alignment/>
    </xf>
    <xf numFmtId="180" fontId="1" fillId="0" borderId="1" xfId="0" applyNumberFormat="1" applyFont="1" applyBorder="1" applyAlignment="1">
      <alignment/>
    </xf>
    <xf numFmtId="180" fontId="1" fillId="0" borderId="1" xfId="0" applyNumberFormat="1" applyFont="1" applyBorder="1" applyAlignment="1">
      <alignment horizontal="left"/>
    </xf>
    <xf numFmtId="2" fontId="1" fillId="0" borderId="1" xfId="0" applyNumberFormat="1" applyFont="1" applyBorder="1" applyAlignment="1">
      <alignment/>
    </xf>
    <xf numFmtId="179" fontId="0" fillId="0" borderId="0" xfId="0" applyNumberFormat="1" applyAlignment="1">
      <alignment horizontal="center"/>
    </xf>
    <xf numFmtId="0" fontId="0" fillId="0" borderId="1" xfId="0" applyBorder="1" applyAlignment="1">
      <alignment horizontal="center"/>
    </xf>
    <xf numFmtId="1" fontId="0" fillId="0" borderId="2" xfId="0" applyNumberFormat="1" applyBorder="1" applyAlignment="1">
      <alignment horizontal="center" vertical="center"/>
    </xf>
    <xf numFmtId="180" fontId="0" fillId="0" borderId="2" xfId="0" applyNumberFormat="1" applyBorder="1" applyAlignment="1">
      <alignment horizontal="center" vertical="center"/>
    </xf>
    <xf numFmtId="187" fontId="0" fillId="0" borderId="0" xfId="0" applyNumberFormat="1" applyAlignment="1">
      <alignment/>
    </xf>
    <xf numFmtId="187" fontId="0" fillId="0" borderId="1" xfId="0" applyNumberFormat="1" applyBorder="1" applyAlignment="1">
      <alignment/>
    </xf>
    <xf numFmtId="189" fontId="0" fillId="0" borderId="2" xfId="0" applyNumberFormat="1" applyBorder="1" applyAlignment="1">
      <alignment vertical="center"/>
    </xf>
    <xf numFmtId="187" fontId="0" fillId="0" borderId="2" xfId="0" applyNumberFormat="1" applyBorder="1" applyAlignment="1">
      <alignment horizontal="center" vertical="center"/>
    </xf>
    <xf numFmtId="187" fontId="0" fillId="0" borderId="0" xfId="0" applyNumberFormat="1" applyAlignment="1">
      <alignment horizontal="center" vertical="center"/>
    </xf>
    <xf numFmtId="0" fontId="0" fillId="0" borderId="2" xfId="0" applyBorder="1" applyAlignment="1">
      <alignment/>
    </xf>
    <xf numFmtId="0" fontId="0" fillId="3" borderId="4" xfId="0" applyFill="1" applyBorder="1" applyAlignment="1">
      <alignment/>
    </xf>
    <xf numFmtId="0" fontId="0" fillId="3" borderId="0" xfId="0" applyFill="1" applyBorder="1" applyAlignment="1">
      <alignment horizontal="center"/>
    </xf>
    <xf numFmtId="180" fontId="0" fillId="3" borderId="0" xfId="0" applyNumberFormat="1" applyFill="1" applyBorder="1" applyAlignment="1">
      <alignment/>
    </xf>
    <xf numFmtId="0" fontId="0" fillId="3" borderId="0" xfId="0" applyFill="1" applyBorder="1" applyAlignment="1">
      <alignment/>
    </xf>
    <xf numFmtId="0" fontId="0" fillId="3" borderId="0" xfId="0" applyFill="1" applyBorder="1" applyAlignment="1">
      <alignment horizontal="right"/>
    </xf>
    <xf numFmtId="2" fontId="0" fillId="4" borderId="5"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0" fillId="4" borderId="5"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0" xfId="0" applyFont="1" applyFill="1" applyBorder="1" applyAlignment="1">
      <alignment horizontal="center"/>
    </xf>
    <xf numFmtId="181" fontId="0" fillId="3" borderId="0" xfId="0" applyNumberFormat="1" applyFill="1" applyBorder="1" applyAlignment="1">
      <alignment/>
    </xf>
    <xf numFmtId="179" fontId="0" fillId="3" borderId="0" xfId="0" applyNumberFormat="1" applyFill="1" applyBorder="1" applyAlignment="1">
      <alignment/>
    </xf>
    <xf numFmtId="1" fontId="0" fillId="3" borderId="0" xfId="0" applyNumberFormat="1" applyFill="1" applyBorder="1" applyAlignment="1">
      <alignment/>
    </xf>
    <xf numFmtId="0" fontId="15" fillId="3" borderId="0" xfId="0" applyFont="1" applyFill="1" applyBorder="1" applyAlignment="1">
      <alignment/>
    </xf>
    <xf numFmtId="0" fontId="0" fillId="3" borderId="11" xfId="0"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xf>
    <xf numFmtId="0" fontId="0" fillId="3" borderId="12" xfId="0" applyFill="1" applyBorder="1" applyAlignment="1">
      <alignment/>
    </xf>
    <xf numFmtId="0" fontId="0"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0" borderId="1" xfId="0" applyFont="1" applyFill="1" applyBorder="1" applyAlignment="1">
      <alignment/>
    </xf>
    <xf numFmtId="0" fontId="1" fillId="0" borderId="17" xfId="0" applyFont="1" applyFill="1" applyBorder="1" applyAlignment="1">
      <alignment/>
    </xf>
    <xf numFmtId="0" fontId="1" fillId="0" borderId="1" xfId="0" applyFont="1" applyFill="1" applyBorder="1" applyAlignment="1">
      <alignment horizontal="center" vertical="center"/>
    </xf>
    <xf numFmtId="180" fontId="0" fillId="3" borderId="0" xfId="0" applyNumberFormat="1" applyFill="1" applyBorder="1" applyAlignment="1">
      <alignment horizontal="right"/>
    </xf>
    <xf numFmtId="2" fontId="0" fillId="3" borderId="0" xfId="0" applyNumberFormat="1" applyFill="1" applyBorder="1" applyAlignment="1">
      <alignment/>
    </xf>
    <xf numFmtId="0" fontId="0" fillId="3" borderId="0" xfId="0" applyFont="1" applyFill="1" applyBorder="1" applyAlignment="1">
      <alignment/>
    </xf>
    <xf numFmtId="0" fontId="0" fillId="3" borderId="0" xfId="0" applyFill="1" applyBorder="1" applyAlignment="1">
      <alignment vertical="center"/>
    </xf>
    <xf numFmtId="0" fontId="17" fillId="0" borderId="0" xfId="0" applyFont="1" applyAlignment="1">
      <alignment/>
    </xf>
    <xf numFmtId="0" fontId="19" fillId="3" borderId="8" xfId="0" applyFont="1" applyFill="1" applyBorder="1" applyAlignment="1">
      <alignment vertical="center"/>
    </xf>
    <xf numFmtId="1" fontId="0" fillId="4" borderId="13" xfId="0" applyNumberFormat="1" applyFill="1" applyBorder="1" applyAlignment="1">
      <alignment/>
    </xf>
    <xf numFmtId="1" fontId="0" fillId="4" borderId="18" xfId="0" applyNumberFormat="1" applyFill="1" applyBorder="1" applyAlignment="1">
      <alignment/>
    </xf>
    <xf numFmtId="1" fontId="0" fillId="4" borderId="16" xfId="0" applyNumberFormat="1" applyFill="1" applyBorder="1" applyAlignment="1">
      <alignment/>
    </xf>
    <xf numFmtId="0" fontId="0" fillId="3" borderId="19" xfId="0" applyFill="1" applyBorder="1" applyAlignment="1">
      <alignment/>
    </xf>
    <xf numFmtId="0" fontId="0" fillId="3" borderId="20" xfId="0" applyFill="1" applyBorder="1" applyAlignment="1">
      <alignment/>
    </xf>
    <xf numFmtId="2" fontId="0" fillId="4" borderId="21" xfId="0" applyNumberFormat="1" applyFill="1" applyBorder="1" applyAlignment="1">
      <alignment/>
    </xf>
    <xf numFmtId="2" fontId="0" fillId="4" borderId="22" xfId="0" applyNumberFormat="1" applyFill="1" applyBorder="1" applyAlignment="1">
      <alignment/>
    </xf>
    <xf numFmtId="2" fontId="0" fillId="4" borderId="23" xfId="0" applyNumberFormat="1" applyFill="1" applyBorder="1" applyAlignment="1">
      <alignment/>
    </xf>
    <xf numFmtId="2" fontId="0" fillId="4" borderId="24" xfId="0" applyNumberFormat="1" applyFill="1" applyBorder="1" applyAlignment="1">
      <alignment/>
    </xf>
    <xf numFmtId="2" fontId="0" fillId="4" borderId="25" xfId="0" applyNumberFormat="1" applyFill="1" applyBorder="1" applyAlignment="1">
      <alignment/>
    </xf>
    <xf numFmtId="2" fontId="0" fillId="4" borderId="26" xfId="0" applyNumberFormat="1" applyFill="1" applyBorder="1" applyAlignment="1">
      <alignment/>
    </xf>
    <xf numFmtId="2" fontId="0" fillId="4" borderId="27" xfId="0" applyNumberFormat="1" applyFill="1" applyBorder="1" applyAlignment="1">
      <alignment/>
    </xf>
    <xf numFmtId="2" fontId="0" fillId="3" borderId="19" xfId="0" applyNumberFormat="1" applyFill="1" applyBorder="1" applyAlignment="1">
      <alignment/>
    </xf>
    <xf numFmtId="182" fontId="0" fillId="4" borderId="21" xfId="0" applyNumberFormat="1" applyFill="1" applyBorder="1" applyAlignment="1">
      <alignment/>
    </xf>
    <xf numFmtId="182" fontId="0" fillId="4" borderId="22" xfId="0" applyNumberFormat="1" applyFill="1" applyBorder="1" applyAlignment="1">
      <alignment/>
    </xf>
    <xf numFmtId="182" fontId="0" fillId="4" borderId="23" xfId="0" applyNumberFormat="1" applyFill="1" applyBorder="1" applyAlignment="1">
      <alignment/>
    </xf>
    <xf numFmtId="0" fontId="0" fillId="3" borderId="0"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26" fillId="0" borderId="0" xfId="0" applyFont="1" applyAlignment="1">
      <alignment/>
    </xf>
    <xf numFmtId="2" fontId="26" fillId="0" borderId="0" xfId="0" applyNumberFormat="1" applyFont="1" applyAlignment="1">
      <alignment/>
    </xf>
    <xf numFmtId="0" fontId="26" fillId="2" borderId="0" xfId="0" applyFont="1" applyFill="1" applyAlignment="1">
      <alignment/>
    </xf>
    <xf numFmtId="178" fontId="26" fillId="0" borderId="0" xfId="0" applyNumberFormat="1" applyFont="1" applyAlignment="1">
      <alignment/>
    </xf>
    <xf numFmtId="0" fontId="0" fillId="4" borderId="5" xfId="0" applyFill="1" applyBorder="1" applyAlignment="1">
      <alignment horizontal="center"/>
    </xf>
    <xf numFmtId="0" fontId="19" fillId="0" borderId="0" xfId="0" applyFont="1" applyFill="1" applyBorder="1" applyAlignment="1">
      <alignment vertical="center"/>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0" fontId="0" fillId="5" borderId="19" xfId="0" applyFill="1" applyBorder="1" applyAlignment="1">
      <alignment/>
    </xf>
    <xf numFmtId="0" fontId="1" fillId="5" borderId="0" xfId="0" applyFont="1" applyFill="1" applyBorder="1" applyAlignment="1">
      <alignment horizontal="left"/>
    </xf>
    <xf numFmtId="0" fontId="0" fillId="5" borderId="0" xfId="0" applyFill="1" applyBorder="1" applyAlignment="1">
      <alignment/>
    </xf>
    <xf numFmtId="0" fontId="1" fillId="5" borderId="0" xfId="0" applyFont="1" applyFill="1" applyBorder="1" applyAlignment="1">
      <alignment/>
    </xf>
    <xf numFmtId="0" fontId="0" fillId="5" borderId="31" xfId="0" applyFill="1" applyBorder="1" applyAlignment="1">
      <alignment/>
    </xf>
    <xf numFmtId="0" fontId="0" fillId="5" borderId="32" xfId="0" applyFill="1" applyBorder="1" applyAlignment="1">
      <alignment/>
    </xf>
    <xf numFmtId="0" fontId="0" fillId="5" borderId="20" xfId="0" applyFill="1" applyBorder="1" applyAlignment="1">
      <alignment/>
    </xf>
    <xf numFmtId="0" fontId="0" fillId="5" borderId="33" xfId="0" applyFill="1" applyBorder="1" applyAlignment="1">
      <alignment/>
    </xf>
    <xf numFmtId="0" fontId="19" fillId="5" borderId="29" xfId="0" applyFont="1" applyFill="1" applyBorder="1" applyAlignment="1">
      <alignment vertical="center"/>
    </xf>
    <xf numFmtId="0" fontId="0" fillId="5" borderId="0" xfId="0" applyFill="1" applyAlignment="1">
      <alignment/>
    </xf>
    <xf numFmtId="0" fontId="1" fillId="5" borderId="34" xfId="0" applyFont="1" applyFill="1" applyBorder="1" applyAlignment="1">
      <alignment horizontal="center"/>
    </xf>
    <xf numFmtId="0" fontId="1" fillId="5" borderId="35" xfId="0" applyFont="1" applyFill="1" applyBorder="1" applyAlignment="1">
      <alignment horizontal="center"/>
    </xf>
    <xf numFmtId="0" fontId="0" fillId="5" borderId="35" xfId="0" applyFill="1" applyBorder="1" applyAlignment="1">
      <alignment/>
    </xf>
    <xf numFmtId="185" fontId="0" fillId="5" borderId="35" xfId="0" applyNumberFormat="1" applyFill="1" applyBorder="1" applyAlignment="1">
      <alignment/>
    </xf>
    <xf numFmtId="178" fontId="0" fillId="5" borderId="35" xfId="0" applyNumberFormat="1" applyFill="1" applyBorder="1" applyAlignment="1">
      <alignment/>
    </xf>
    <xf numFmtId="179" fontId="0" fillId="5" borderId="35" xfId="0" applyNumberFormat="1" applyFill="1" applyBorder="1" applyAlignment="1">
      <alignment/>
    </xf>
    <xf numFmtId="0" fontId="0" fillId="5" borderId="36" xfId="0" applyFill="1" applyBorder="1" applyAlignment="1">
      <alignment/>
    </xf>
    <xf numFmtId="178" fontId="0" fillId="4" borderId="37" xfId="0" applyNumberFormat="1" applyFill="1" applyBorder="1" applyAlignment="1">
      <alignment/>
    </xf>
    <xf numFmtId="185" fontId="0" fillId="4" borderId="37" xfId="0" applyNumberFormat="1" applyFill="1" applyBorder="1" applyAlignment="1">
      <alignment/>
    </xf>
    <xf numFmtId="179" fontId="0" fillId="4" borderId="37" xfId="0" applyNumberFormat="1" applyFill="1" applyBorder="1" applyAlignment="1">
      <alignment/>
    </xf>
    <xf numFmtId="179" fontId="0" fillId="4" borderId="35" xfId="0" applyNumberFormat="1" applyFill="1" applyBorder="1" applyAlignment="1">
      <alignment/>
    </xf>
    <xf numFmtId="181" fontId="0" fillId="4" borderId="35" xfId="0" applyNumberFormat="1" applyFill="1" applyBorder="1" applyAlignment="1">
      <alignment/>
    </xf>
    <xf numFmtId="2" fontId="0" fillId="4" borderId="35" xfId="0" applyNumberFormat="1" applyFill="1" applyBorder="1" applyAlignment="1">
      <alignment/>
    </xf>
    <xf numFmtId="1" fontId="0" fillId="4" borderId="38" xfId="0" applyNumberFormat="1" applyFill="1" applyBorder="1" applyAlignment="1">
      <alignment/>
    </xf>
    <xf numFmtId="179" fontId="0" fillId="4" borderId="38" xfId="0" applyNumberFormat="1" applyFill="1" applyBorder="1" applyAlignment="1">
      <alignment/>
    </xf>
    <xf numFmtId="181" fontId="0" fillId="4" borderId="38" xfId="0" applyNumberFormat="1" applyFill="1" applyBorder="1" applyAlignment="1">
      <alignment/>
    </xf>
    <xf numFmtId="2" fontId="0" fillId="4" borderId="38" xfId="0" applyNumberFormat="1" applyFill="1" applyBorder="1" applyAlignment="1">
      <alignment/>
    </xf>
    <xf numFmtId="179" fontId="0" fillId="4" borderId="39" xfId="0" applyNumberFormat="1" applyFill="1" applyBorder="1" applyAlignment="1">
      <alignment/>
    </xf>
    <xf numFmtId="181" fontId="0" fillId="4" borderId="39" xfId="0" applyNumberFormat="1" applyFill="1" applyBorder="1" applyAlignment="1">
      <alignment/>
    </xf>
    <xf numFmtId="0" fontId="0" fillId="3" borderId="0" xfId="0" applyFill="1" applyBorder="1" applyAlignment="1">
      <alignment horizontal="left"/>
    </xf>
    <xf numFmtId="180" fontId="0" fillId="4" borderId="5" xfId="0" applyNumberFormat="1" applyFill="1" applyBorder="1" applyAlignment="1">
      <alignment horizontal="right"/>
    </xf>
    <xf numFmtId="179" fontId="0" fillId="4" borderId="5" xfId="0" applyNumberFormat="1" applyFill="1" applyBorder="1" applyAlignment="1">
      <alignment horizontal="right"/>
    </xf>
    <xf numFmtId="180" fontId="0" fillId="4" borderId="5" xfId="0" applyNumberFormat="1" applyFill="1" applyBorder="1" applyAlignment="1">
      <alignment/>
    </xf>
    <xf numFmtId="0" fontId="0" fillId="3" borderId="0" xfId="0" applyFill="1" applyAlignment="1">
      <alignment/>
    </xf>
    <xf numFmtId="0" fontId="1" fillId="3" borderId="0" xfId="0" applyFont="1" applyFill="1" applyAlignment="1">
      <alignment/>
    </xf>
    <xf numFmtId="0" fontId="3" fillId="3" borderId="0" xfId="0" applyFont="1" applyFill="1" applyAlignment="1">
      <alignment/>
    </xf>
    <xf numFmtId="0" fontId="3" fillId="3" borderId="0" xfId="0" applyFont="1" applyFill="1" applyBorder="1" applyAlignment="1">
      <alignment/>
    </xf>
    <xf numFmtId="2" fontId="1" fillId="4" borderId="5" xfId="0" applyNumberFormat="1" applyFont="1" applyFill="1" applyBorder="1" applyAlignment="1">
      <alignment/>
    </xf>
    <xf numFmtId="180" fontId="3" fillId="4" borderId="5" xfId="0" applyNumberFormat="1" applyFont="1" applyFill="1" applyBorder="1" applyAlignment="1">
      <alignment horizontal="right"/>
    </xf>
    <xf numFmtId="0" fontId="1" fillId="6" borderId="40" xfId="0" applyFont="1" applyFill="1" applyBorder="1" applyAlignment="1">
      <alignment horizontal="center"/>
    </xf>
    <xf numFmtId="0" fontId="1" fillId="6" borderId="41" xfId="0" applyFont="1" applyFill="1" applyBorder="1" applyAlignment="1">
      <alignment horizontal="center"/>
    </xf>
    <xf numFmtId="0" fontId="0" fillId="6" borderId="41" xfId="0" applyFont="1" applyFill="1" applyBorder="1" applyAlignment="1">
      <alignment horizontal="center"/>
    </xf>
    <xf numFmtId="179" fontId="0" fillId="4" borderId="42" xfId="0" applyNumberFormat="1" applyFill="1" applyBorder="1" applyAlignment="1">
      <alignment horizontal="right"/>
    </xf>
    <xf numFmtId="0" fontId="16" fillId="0" borderId="0" xfId="0" applyFont="1" applyAlignment="1">
      <alignment/>
    </xf>
    <xf numFmtId="185" fontId="0" fillId="6" borderId="5" xfId="0" applyNumberFormat="1" applyFill="1" applyBorder="1" applyAlignment="1" applyProtection="1">
      <alignment/>
      <protection locked="0"/>
    </xf>
    <xf numFmtId="179" fontId="15" fillId="6" borderId="5" xfId="0" applyNumberFormat="1" applyFont="1" applyFill="1" applyBorder="1" applyAlignment="1" applyProtection="1">
      <alignment/>
      <protection locked="0"/>
    </xf>
    <xf numFmtId="180" fontId="15" fillId="6" borderId="5" xfId="0" applyNumberFormat="1" applyFont="1" applyFill="1" applyBorder="1" applyAlignment="1" applyProtection="1">
      <alignment/>
      <protection locked="0"/>
    </xf>
    <xf numFmtId="1" fontId="15" fillId="6" borderId="5" xfId="0" applyNumberFormat="1" applyFont="1" applyFill="1" applyBorder="1" applyAlignment="1" applyProtection="1">
      <alignment/>
      <protection locked="0"/>
    </xf>
    <xf numFmtId="185" fontId="15" fillId="6" borderId="5" xfId="0" applyNumberFormat="1" applyFont="1" applyFill="1" applyBorder="1" applyAlignment="1" applyProtection="1">
      <alignment/>
      <protection locked="0"/>
    </xf>
    <xf numFmtId="178" fontId="15" fillId="6" borderId="5" xfId="0" applyNumberFormat="1" applyFont="1" applyFill="1" applyBorder="1" applyAlignment="1" applyProtection="1">
      <alignment/>
      <protection locked="0"/>
    </xf>
    <xf numFmtId="0" fontId="0" fillId="6" borderId="5" xfId="0" applyFill="1" applyBorder="1" applyAlignment="1" applyProtection="1">
      <alignment horizontal="center"/>
      <protection locked="0"/>
    </xf>
    <xf numFmtId="185" fontId="0" fillId="6" borderId="43" xfId="0" applyNumberFormat="1" applyFill="1" applyBorder="1" applyAlignment="1" applyProtection="1">
      <alignment/>
      <protection locked="0"/>
    </xf>
    <xf numFmtId="179" fontId="15" fillId="6" borderId="43" xfId="0" applyNumberFormat="1" applyFont="1" applyFill="1" applyBorder="1" applyAlignment="1" applyProtection="1">
      <alignment/>
      <protection locked="0"/>
    </xf>
    <xf numFmtId="180" fontId="15" fillId="6" borderId="43" xfId="0" applyNumberFormat="1" applyFont="1" applyFill="1" applyBorder="1" applyAlignment="1" applyProtection="1">
      <alignment/>
      <protection locked="0"/>
    </xf>
    <xf numFmtId="1" fontId="15" fillId="6" borderId="43" xfId="0" applyNumberFormat="1" applyFont="1" applyFill="1" applyBorder="1" applyAlignment="1" applyProtection="1">
      <alignment/>
      <protection locked="0"/>
    </xf>
    <xf numFmtId="185" fontId="15" fillId="6" borderId="43" xfId="0" applyNumberFormat="1" applyFont="1" applyFill="1" applyBorder="1" applyAlignment="1" applyProtection="1">
      <alignment/>
      <protection locked="0"/>
    </xf>
    <xf numFmtId="178" fontId="15" fillId="6" borderId="43" xfId="0" applyNumberFormat="1" applyFont="1" applyFill="1" applyBorder="1" applyAlignment="1" applyProtection="1">
      <alignment/>
      <protection locked="0"/>
    </xf>
    <xf numFmtId="0" fontId="0" fillId="5" borderId="0" xfId="0" applyFill="1" applyBorder="1" applyAlignment="1" applyProtection="1">
      <alignment/>
      <protection locked="0"/>
    </xf>
    <xf numFmtId="0" fontId="1" fillId="5" borderId="0" xfId="0" applyFont="1" applyFill="1" applyBorder="1" applyAlignment="1" applyProtection="1">
      <alignment horizontal="center"/>
      <protection locked="0"/>
    </xf>
    <xf numFmtId="0" fontId="15" fillId="5" borderId="0" xfId="0" applyFont="1" applyFill="1" applyBorder="1" applyAlignment="1" applyProtection="1">
      <alignment/>
      <protection locked="0"/>
    </xf>
    <xf numFmtId="2" fontId="1" fillId="6" borderId="3" xfId="0" applyNumberFormat="1" applyFont="1" applyFill="1" applyBorder="1" applyAlignment="1" applyProtection="1">
      <alignment/>
      <protection locked="0"/>
    </xf>
    <xf numFmtId="2" fontId="0" fillId="6" borderId="5" xfId="0" applyNumberFormat="1" applyFill="1" applyBorder="1" applyAlignment="1" applyProtection="1">
      <alignment/>
      <protection locked="0"/>
    </xf>
    <xf numFmtId="180" fontId="0" fillId="6" borderId="5" xfId="0" applyNumberFormat="1" applyFill="1" applyBorder="1" applyAlignment="1" applyProtection="1">
      <alignment horizontal="right"/>
      <protection locked="0"/>
    </xf>
    <xf numFmtId="179" fontId="0" fillId="6" borderId="5" xfId="0" applyNumberFormat="1" applyFill="1" applyBorder="1" applyAlignment="1" applyProtection="1">
      <alignment/>
      <protection locked="0"/>
    </xf>
    <xf numFmtId="180" fontId="0" fillId="6" borderId="5" xfId="0" applyNumberFormat="1" applyFill="1" applyBorder="1" applyAlignment="1" applyProtection="1">
      <alignment/>
      <protection locked="0"/>
    </xf>
    <xf numFmtId="2" fontId="0" fillId="6" borderId="5" xfId="0" applyNumberFormat="1" applyFill="1" applyBorder="1" applyAlignment="1" applyProtection="1">
      <alignment horizontal="right"/>
      <protection locked="0"/>
    </xf>
    <xf numFmtId="0" fontId="0" fillId="6" borderId="5" xfId="0" applyFill="1" applyBorder="1" applyAlignment="1" applyProtection="1">
      <alignment/>
      <protection locked="0"/>
    </xf>
    <xf numFmtId="0" fontId="0" fillId="6" borderId="43" xfId="0" applyFill="1" applyBorder="1" applyAlignment="1" applyProtection="1">
      <alignment/>
      <protection locked="0"/>
    </xf>
    <xf numFmtId="2" fontId="0" fillId="6" borderId="24" xfId="0" applyNumberFormat="1" applyFill="1" applyBorder="1" applyAlignment="1" applyProtection="1">
      <alignment/>
      <protection locked="0"/>
    </xf>
    <xf numFmtId="0" fontId="0" fillId="4" borderId="5" xfId="0" applyFill="1" applyBorder="1" applyAlignment="1" applyProtection="1">
      <alignment/>
      <protection/>
    </xf>
    <xf numFmtId="186" fontId="0" fillId="0" borderId="0" xfId="0" applyNumberFormat="1" applyBorder="1" applyAlignment="1">
      <alignment horizontal="right"/>
    </xf>
    <xf numFmtId="0" fontId="1" fillId="0" borderId="13" xfId="0" applyFont="1" applyFill="1" applyBorder="1" applyAlignment="1">
      <alignment horizontal="center" vertical="center"/>
    </xf>
    <xf numFmtId="0" fontId="27" fillId="7" borderId="44" xfId="0" applyFont="1" applyFill="1" applyBorder="1" applyAlignment="1">
      <alignment horizontal="center"/>
    </xf>
    <xf numFmtId="0" fontId="28" fillId="7" borderId="45" xfId="0" applyFont="1" applyFill="1" applyBorder="1" applyAlignment="1">
      <alignment horizontal="center"/>
    </xf>
    <xf numFmtId="0" fontId="28" fillId="7" borderId="46" xfId="0" applyFont="1" applyFill="1" applyBorder="1" applyAlignment="1">
      <alignment horizontal="center"/>
    </xf>
    <xf numFmtId="0" fontId="21" fillId="3" borderId="0" xfId="0" applyFont="1" applyFill="1" applyBorder="1" applyAlignment="1">
      <alignment horizontal="center" vertical="center"/>
    </xf>
    <xf numFmtId="0" fontId="21" fillId="5" borderId="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30" xfId="0" applyFont="1" applyFill="1" applyBorder="1" applyAlignment="1">
      <alignment horizontal="center" vertical="center"/>
    </xf>
    <xf numFmtId="0" fontId="0" fillId="3" borderId="0" xfId="0" applyFill="1" applyBorder="1" applyAlignment="1">
      <alignment horizontal="center"/>
    </xf>
    <xf numFmtId="180" fontId="0" fillId="4" borderId="43" xfId="0" applyNumberFormat="1" applyFill="1" applyBorder="1" applyAlignment="1">
      <alignment horizontal="center"/>
    </xf>
    <xf numFmtId="180" fontId="0" fillId="4" borderId="47" xfId="0" applyNumberFormat="1" applyFill="1" applyBorder="1" applyAlignment="1">
      <alignment horizontal="center"/>
    </xf>
    <xf numFmtId="0" fontId="1" fillId="3" borderId="1" xfId="0" applyFont="1" applyFill="1" applyBorder="1" applyAlignment="1">
      <alignment horizontal="center"/>
    </xf>
    <xf numFmtId="0" fontId="0" fillId="3" borderId="28" xfId="0" applyFont="1" applyFill="1" applyBorder="1" applyAlignment="1">
      <alignment horizontal="center" vertical="center"/>
    </xf>
    <xf numFmtId="0" fontId="0" fillId="3" borderId="30"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0" fillId="6" borderId="13" xfId="0" applyFill="1" applyBorder="1" applyAlignment="1" applyProtection="1">
      <alignment horizontal="left"/>
      <protection locked="0"/>
    </xf>
    <xf numFmtId="0" fontId="0" fillId="6" borderId="14" xfId="0" applyFill="1" applyBorder="1" applyAlignment="1" applyProtection="1">
      <alignment horizontal="left"/>
      <protection locked="0"/>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0" borderId="1" xfId="0" applyBorder="1" applyAlignment="1">
      <alignment horizontal="center"/>
    </xf>
    <xf numFmtId="0" fontId="1" fillId="0" borderId="0" xfId="0" applyFont="1" applyFill="1" applyAlignment="1">
      <alignment horizontal="center"/>
    </xf>
    <xf numFmtId="0" fontId="6" fillId="0" borderId="0" xfId="0" applyFont="1" applyAlignment="1">
      <alignment horizontal="center"/>
    </xf>
    <xf numFmtId="0" fontId="0"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1" fontId="0" fillId="0" borderId="1" xfId="0" applyNumberFormat="1" applyBorder="1" applyAlignment="1">
      <alignment horizontal="righ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185" fontId="0" fillId="0" borderId="0" xfId="0" applyNumberFormat="1" applyBorder="1" applyAlignment="1">
      <alignment horizontal="right"/>
    </xf>
    <xf numFmtId="179"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2"/>
          <c:y val="0.014"/>
          <c:w val="0.941"/>
          <c:h val="0.93775"/>
        </c:manualLayout>
      </c:layout>
      <c:scatterChart>
        <c:scatterStyle val="smoothMarker"/>
        <c:varyColors val="0"/>
        <c:ser>
          <c:idx val="0"/>
          <c:order val="0"/>
          <c:tx>
            <c:v>Feed</c:v>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80"/>
                </a:solidFill>
              </a:ln>
            </c:spPr>
          </c:marker>
          <c:xVal>
            <c:numRef>
              <c:f>Data_File!$E$27:$E$46</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Data_File!$H$27:$H$46</c:f>
              <c:numCache>
                <c:ptCount val="20"/>
                <c:pt idx="0">
                  <c:v>100</c:v>
                </c:pt>
                <c:pt idx="1">
                  <c:v>100</c:v>
                </c:pt>
                <c:pt idx="2">
                  <c:v>97.64783128571537</c:v>
                </c:pt>
                <c:pt idx="3">
                  <c:v>90.99962481316147</c:v>
                </c:pt>
                <c:pt idx="4">
                  <c:v>85.0202208669354</c:v>
                </c:pt>
                <c:pt idx="5">
                  <c:v>80.19375283004734</c:v>
                </c:pt>
                <c:pt idx="6">
                  <c:v>75.76375381977516</c:v>
                </c:pt>
                <c:pt idx="7">
                  <c:v>71.35819893200762</c:v>
                </c:pt>
                <c:pt idx="8">
                  <c:v>66.86928185017342</c:v>
                </c:pt>
                <c:pt idx="9">
                  <c:v>61.48514257924406</c:v>
                </c:pt>
                <c:pt idx="10">
                  <c:v>55.66648389938268</c:v>
                </c:pt>
                <c:pt idx="11">
                  <c:v>48.600753613019585</c:v>
                </c:pt>
                <c:pt idx="12">
                  <c:v>40.40776435932991</c:v>
                </c:pt>
                <c:pt idx="13">
                  <c:v>31.684739374549327</c:v>
                </c:pt>
                <c:pt idx="14">
                  <c:v>23.96770355202846</c:v>
                </c:pt>
                <c:pt idx="15">
                  <c:v>18.217715336537786</c:v>
                </c:pt>
                <c:pt idx="16">
                  <c:v>14.312193150430764</c:v>
                </c:pt>
                <c:pt idx="17">
                  <c:v>11.726802695003379</c:v>
                </c:pt>
                <c:pt idx="18">
                  <c:v>9.948750593665084</c:v>
                </c:pt>
                <c:pt idx="19">
                  <c:v>8.738997608618192</c:v>
                </c:pt>
              </c:numCache>
            </c:numRef>
          </c:yVal>
          <c:smooth val="1"/>
        </c:ser>
        <c:ser>
          <c:idx val="1"/>
          <c:order val="1"/>
          <c:tx>
            <c:v>Discharge (Exp.)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0000"/>
                </a:solidFill>
              </a:ln>
            </c:spPr>
          </c:marker>
          <c:xVal>
            <c:numRef>
              <c:f>Data_File!$E$27:$E$46</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Data_File!$J$27:$J$46</c:f>
              <c:numCache>
                <c:ptCount val="20"/>
                <c:pt idx="0">
                  <c:v>100</c:v>
                </c:pt>
              </c:numCache>
            </c:numRef>
          </c:yVal>
          <c:smooth val="1"/>
        </c:ser>
        <c:ser>
          <c:idx val="2"/>
          <c:order val="2"/>
          <c:tx>
            <c:v>Discharge (Adjusted)</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Data_File!$E$27:$E$46</c:f>
              <c:numCache>
                <c:ptCount val="20"/>
                <c:pt idx="0">
                  <c:v>25400</c:v>
                </c:pt>
                <c:pt idx="1">
                  <c:v>19050</c:v>
                </c:pt>
                <c:pt idx="2">
                  <c:v>12700</c:v>
                </c:pt>
                <c:pt idx="3">
                  <c:v>9500</c:v>
                </c:pt>
                <c:pt idx="4">
                  <c:v>6700</c:v>
                </c:pt>
                <c:pt idx="5">
                  <c:v>4750</c:v>
                </c:pt>
                <c:pt idx="6">
                  <c:v>3350</c:v>
                </c:pt>
                <c:pt idx="7">
                  <c:v>2360</c:v>
                </c:pt>
                <c:pt idx="8">
                  <c:v>1700</c:v>
                </c:pt>
                <c:pt idx="9">
                  <c:v>1180</c:v>
                </c:pt>
                <c:pt idx="10">
                  <c:v>850</c:v>
                </c:pt>
                <c:pt idx="11">
                  <c:v>600</c:v>
                </c:pt>
                <c:pt idx="12">
                  <c:v>425</c:v>
                </c:pt>
                <c:pt idx="13">
                  <c:v>300</c:v>
                </c:pt>
                <c:pt idx="14">
                  <c:v>212</c:v>
                </c:pt>
                <c:pt idx="15">
                  <c:v>150</c:v>
                </c:pt>
                <c:pt idx="16">
                  <c:v>106</c:v>
                </c:pt>
                <c:pt idx="17">
                  <c:v>75</c:v>
                </c:pt>
                <c:pt idx="18">
                  <c:v>53</c:v>
                </c:pt>
                <c:pt idx="19">
                  <c:v>38</c:v>
                </c:pt>
              </c:numCache>
            </c:numRef>
          </c:xVal>
          <c:yVal>
            <c:numRef>
              <c:f>Data_File!$L$27:$L$46</c:f>
              <c:numCache>
                <c:ptCount val="20"/>
                <c:pt idx="0">
                  <c:v>99.99999999999724</c:v>
                </c:pt>
                <c:pt idx="1">
                  <c:v>99.99999999999724</c:v>
                </c:pt>
                <c:pt idx="2">
                  <c:v>99.99999929403066</c:v>
                </c:pt>
                <c:pt idx="3">
                  <c:v>99.9999986969697</c:v>
                </c:pt>
                <c:pt idx="4">
                  <c:v>99.99999814844001</c:v>
                </c:pt>
                <c:pt idx="5">
                  <c:v>99.99999763862108</c:v>
                </c:pt>
                <c:pt idx="6">
                  <c:v>99.99999705875757</c:v>
                </c:pt>
                <c:pt idx="7">
                  <c:v>99.99999626786729</c:v>
                </c:pt>
                <c:pt idx="8">
                  <c:v>99.99999504493627</c:v>
                </c:pt>
                <c:pt idx="9">
                  <c:v>99.99999259126145</c:v>
                </c:pt>
                <c:pt idx="10">
                  <c:v>99.99998675136742</c:v>
                </c:pt>
                <c:pt idx="11">
                  <c:v>99.99996229974487</c:v>
                </c:pt>
                <c:pt idx="12">
                  <c:v>99.99972054118899</c:v>
                </c:pt>
                <c:pt idx="13">
                  <c:v>99.99644382242339</c:v>
                </c:pt>
                <c:pt idx="14">
                  <c:v>99.96374625284028</c:v>
                </c:pt>
                <c:pt idx="15">
                  <c:v>99.75576176350714</c:v>
                </c:pt>
                <c:pt idx="16">
                  <c:v>98.89763417259246</c:v>
                </c:pt>
                <c:pt idx="17">
                  <c:v>96.51208392416746</c:v>
                </c:pt>
                <c:pt idx="18">
                  <c:v>91.78543069167438</c:v>
                </c:pt>
                <c:pt idx="19">
                  <c:v>84.94657295365127</c:v>
                </c:pt>
              </c:numCache>
            </c:numRef>
          </c:yVal>
          <c:smooth val="1"/>
        </c:ser>
        <c:ser>
          <c:idx val="3"/>
          <c:order val="3"/>
          <c:tx>
            <c:v>SiE * 10</c:v>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336666"/>
                </a:solidFill>
              </a:ln>
            </c:spPr>
          </c:marker>
          <c:xVal>
            <c:numRef>
              <c:f>Model!$D$9:$D$27</c:f>
              <c:numCache>
                <c:ptCount val="19"/>
                <c:pt idx="0">
                  <c:v>21997.04525612474</c:v>
                </c:pt>
                <c:pt idx="1">
                  <c:v>15554.259866673181</c:v>
                </c:pt>
                <c:pt idx="2">
                  <c:v>10984.079387914127</c:v>
                </c:pt>
                <c:pt idx="3">
                  <c:v>7978.095010715278</c:v>
                </c:pt>
                <c:pt idx="4">
                  <c:v>5641.365083027334</c:v>
                </c:pt>
                <c:pt idx="5">
                  <c:v>3989.047505357639</c:v>
                </c:pt>
                <c:pt idx="6">
                  <c:v>2811.761014026619</c:v>
                </c:pt>
                <c:pt idx="7">
                  <c:v>2002.9977533686852</c:v>
                </c:pt>
                <c:pt idx="8">
                  <c:v>1416.333294108417</c:v>
                </c:pt>
                <c:pt idx="9">
                  <c:v>1001.4988766843426</c:v>
                </c:pt>
                <c:pt idx="10">
                  <c:v>714.142842854285</c:v>
                </c:pt>
                <c:pt idx="11">
                  <c:v>504.9752469181039</c:v>
                </c:pt>
                <c:pt idx="12">
                  <c:v>357.0714214271425</c:v>
                </c:pt>
                <c:pt idx="13">
                  <c:v>252.19040425836982</c:v>
                </c:pt>
                <c:pt idx="14">
                  <c:v>178.3255450012701</c:v>
                </c:pt>
                <c:pt idx="15">
                  <c:v>126.09520212918491</c:v>
                </c:pt>
                <c:pt idx="16">
                  <c:v>89.16277250063504</c:v>
                </c:pt>
                <c:pt idx="17">
                  <c:v>63.047601064592456</c:v>
                </c:pt>
                <c:pt idx="18">
                  <c:v>44.87761134463375</c:v>
                </c:pt>
              </c:numCache>
            </c:numRef>
          </c:xVal>
          <c:yVal>
            <c:numRef>
              <c:f>Model!$BF$9:$BF$27</c:f>
              <c:numCache>
                <c:ptCount val="19"/>
                <c:pt idx="0">
                  <c:v>2.7970585808385935</c:v>
                </c:pt>
                <c:pt idx="1">
                  <c:v>4.995054697937371</c:v>
                </c:pt>
                <c:pt idx="2">
                  <c:v>8.323668389034689</c:v>
                </c:pt>
                <c:pt idx="3">
                  <c:v>11.913792635157423</c:v>
                </c:pt>
                <c:pt idx="4">
                  <c:v>14.877832796288644</c:v>
                </c:pt>
                <c:pt idx="5">
                  <c:v>15.571538796653869</c:v>
                </c:pt>
                <c:pt idx="6">
                  <c:v>14.284064738264984</c:v>
                </c:pt>
                <c:pt idx="7">
                  <c:v>12.21491465740954</c:v>
                </c:pt>
                <c:pt idx="8">
                  <c:v>10.039104153538158</c:v>
                </c:pt>
                <c:pt idx="9">
                  <c:v>8.114956760682151</c:v>
                </c:pt>
                <c:pt idx="10">
                  <c:v>6.547717291315082</c:v>
                </c:pt>
                <c:pt idx="11">
                  <c:v>5.2389850572843555</c:v>
                </c:pt>
                <c:pt idx="12">
                  <c:v>4.186298273284206</c:v>
                </c:pt>
                <c:pt idx="13">
                  <c:v>3.340712187701149</c:v>
                </c:pt>
                <c:pt idx="14">
                  <c:v>2.6673377846719974</c:v>
                </c:pt>
                <c:pt idx="15">
                  <c:v>2.129483410145467</c:v>
                </c:pt>
                <c:pt idx="16">
                  <c:v>1.7000141798519863</c:v>
                </c:pt>
                <c:pt idx="17">
                  <c:v>1.3571356983641714</c:v>
                </c:pt>
                <c:pt idx="18">
                  <c:v>1.0880786995103662</c:v>
                </c:pt>
              </c:numCache>
            </c:numRef>
          </c:yVal>
          <c:smooth val="1"/>
        </c:ser>
        <c:axId val="42728380"/>
        <c:axId val="49011101"/>
      </c:scatterChart>
      <c:valAx>
        <c:axId val="42728380"/>
        <c:scaling>
          <c:logBase val="10"/>
          <c:orientation val="minMax"/>
          <c:min val="10"/>
        </c:scaling>
        <c:axPos val="b"/>
        <c:title>
          <c:tx>
            <c:rich>
              <a:bodyPr vert="horz" rot="0" anchor="ctr"/>
              <a:lstStyle/>
              <a:p>
                <a:pPr algn="ctr">
                  <a:defRPr/>
                </a:pPr>
                <a:r>
                  <a:rPr lang="en-US" cap="none" sz="950" b="1" i="0" u="none" baseline="0">
                    <a:latin typeface="Arial"/>
                    <a:ea typeface="Arial"/>
                    <a:cs typeface="Arial"/>
                  </a:rPr>
                  <a:t>Particle Size, microns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9011101"/>
        <c:crosses val="autoZero"/>
        <c:crossBetween val="midCat"/>
        <c:dispUnits/>
      </c:valAx>
      <c:valAx>
        <c:axId val="49011101"/>
        <c:scaling>
          <c:logBase val="10"/>
          <c:orientation val="minMax"/>
          <c:max val="100"/>
          <c:min val="1"/>
        </c:scaling>
        <c:axPos val="l"/>
        <c:title>
          <c:tx>
            <c:rich>
              <a:bodyPr vert="horz" rot="-5400000" anchor="ctr"/>
              <a:lstStyle/>
              <a:p>
                <a:pPr algn="ctr">
                  <a:defRPr/>
                </a:pPr>
                <a:r>
                  <a:rPr lang="en-US" cap="none" sz="1025" b="1" i="0" u="none" baseline="0">
                    <a:latin typeface="Arial"/>
                    <a:ea typeface="Arial"/>
                    <a:cs typeface="Arial"/>
                  </a:rPr>
                  <a:t>% Passing</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42728380"/>
        <c:crosses val="autoZero"/>
        <c:crossBetween val="midCat"/>
        <c:dispUnits/>
      </c:valAx>
      <c:spPr>
        <a:noFill/>
        <a:ln w="12700">
          <a:solidFill>
            <a:srgbClr val="808080"/>
          </a:solidFill>
        </a:ln>
      </c:spPr>
    </c:plotArea>
    <c:legend>
      <c:legendPos val="r"/>
      <c:layout>
        <c:manualLayout>
          <c:xMode val="edge"/>
          <c:yMode val="edge"/>
          <c:x val="0.66275"/>
          <c:y val="0.6855"/>
          <c:w val="0.2365"/>
          <c:h val="0.134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12</xdr:col>
      <xdr:colOff>9525</xdr:colOff>
      <xdr:row>54</xdr:row>
      <xdr:rowOff>0</xdr:rowOff>
    </xdr:to>
    <xdr:sp>
      <xdr:nvSpPr>
        <xdr:cNvPr id="1" name="TextBox 2"/>
        <xdr:cNvSpPr txBox="1">
          <a:spLocks noChangeArrowheads="1"/>
        </xdr:cNvSpPr>
      </xdr:nvSpPr>
      <xdr:spPr>
        <a:xfrm>
          <a:off x="123825" y="485775"/>
          <a:ext cx="6705600" cy="825817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Scope :</a:t>
          </a:r>
          <a:r>
            <a:rPr lang="en-US" cap="none" sz="1000" b="0" i="0" u="none" baseline="0">
              <a:latin typeface="Arial"/>
              <a:ea typeface="Arial"/>
              <a:cs typeface="Arial"/>
            </a:rPr>
            <a:t>
The </a:t>
          </a:r>
          <a:r>
            <a:rPr lang="en-US" cap="none" sz="1000" b="1" i="0" u="none" baseline="0">
              <a:latin typeface="Arial"/>
              <a:ea typeface="Arial"/>
              <a:cs typeface="Arial"/>
            </a:rPr>
            <a:t>BallParam_Batch</a:t>
          </a:r>
          <a:r>
            <a:rPr lang="en-US" cap="none" sz="1000" b="0" i="0" u="none" baseline="0">
              <a:latin typeface="Arial"/>
              <a:ea typeface="Arial"/>
              <a:cs typeface="Arial"/>
            </a:rPr>
            <a:t> spreadsheet was designed to be used - in conjunction with the Ball Mill Grinding Simulators </a:t>
          </a:r>
          <a:r>
            <a:rPr lang="en-US" cap="none" sz="1000" b="1" i="0" u="none" baseline="0">
              <a:latin typeface="Arial"/>
              <a:ea typeface="Arial"/>
              <a:cs typeface="Arial"/>
            </a:rPr>
            <a:t>BallSim </a:t>
          </a:r>
          <a:r>
            <a:rPr lang="en-US" cap="none" sz="1000" b="0" i="0" u="none" baseline="0">
              <a:latin typeface="Arial"/>
              <a:ea typeface="Arial"/>
              <a:cs typeface="Arial"/>
            </a:rPr>
            <a:t>in the "tuning" of such simulators to any specific actual grinding system, via the estimation of the various </a:t>
          </a:r>
          <a:r>
            <a:rPr lang="en-US" cap="none" sz="1000" b="1" i="0" u="none" baseline="0">
              <a:latin typeface="Arial"/>
              <a:ea typeface="Arial"/>
              <a:cs typeface="Arial"/>
            </a:rPr>
            <a:t>Model Parameters</a:t>
          </a:r>
          <a:r>
            <a:rPr lang="en-US" cap="none" sz="1000" b="0" i="0" u="none" baseline="0">
              <a:latin typeface="Arial"/>
              <a:ea typeface="Arial"/>
              <a:cs typeface="Arial"/>
            </a:rPr>
            <a:t> that characterize the grindability of any given ore. In other words, the attached spreadsheets provide an effective algorithm to search for the set of parameter values that best approximate the model response to the actual experimental measurements available (</a:t>
          </a:r>
          <a:r>
            <a:rPr lang="en-US" cap="none" sz="1000" b="1" i="0" u="none" baseline="0">
              <a:latin typeface="Arial"/>
              <a:ea typeface="Arial"/>
              <a:cs typeface="Arial"/>
            </a:rPr>
            <a:t>obtained from Batch, Laboratory Scale Mills</a:t>
          </a:r>
          <a:r>
            <a:rPr lang="en-US" cap="none" sz="1000" b="0" i="0" u="none" baseline="0">
              <a:latin typeface="Arial"/>
              <a:ea typeface="Arial"/>
              <a:cs typeface="Arial"/>
            </a:rPr>
            <a:t>), based on a typical non-linear, least-squares criterion.
</a:t>
          </a:r>
          <a:r>
            <a:rPr lang="en-US" cap="none" sz="1000" b="1" i="0" u="none" baseline="0">
              <a:solidFill>
                <a:srgbClr val="000080"/>
              </a:solidFill>
              <a:latin typeface="Arial"/>
              <a:ea typeface="Arial"/>
              <a:cs typeface="Arial"/>
            </a:rPr>
            <a:t>Theoretical Framework :</a:t>
          </a:r>
          <a:r>
            <a:rPr lang="en-US" cap="none" sz="1000" b="0" i="0" u="none" baseline="0">
              <a:latin typeface="Arial"/>
              <a:ea typeface="Arial"/>
              <a:cs typeface="Arial"/>
            </a:rPr>
            <a:t>
The reference ball mill model is described with further details in the </a:t>
          </a:r>
          <a:r>
            <a:rPr lang="en-US" cap="none" sz="1000" b="1" i="0" u="none" baseline="0">
              <a:latin typeface="Arial"/>
              <a:ea typeface="Arial"/>
              <a:cs typeface="Arial"/>
            </a:rPr>
            <a:t>About ...</a:t>
          </a:r>
          <a:r>
            <a:rPr lang="en-US" cap="none" sz="1000" b="0" i="0" u="none" baseline="0">
              <a:latin typeface="Arial"/>
              <a:ea typeface="Arial"/>
              <a:cs typeface="Arial"/>
            </a:rPr>
            <a:t> worksheets of the </a:t>
          </a:r>
          <a:r>
            <a:rPr lang="en-US" cap="none" sz="1000" b="1" i="0" u="none" baseline="0">
              <a:latin typeface="Arial"/>
              <a:ea typeface="Arial"/>
              <a:cs typeface="Arial"/>
            </a:rPr>
            <a:t>BallSim_Direct</a:t>
          </a:r>
          <a:r>
            <a:rPr lang="en-US" cap="none" sz="1000" b="0" i="0" u="none" baseline="0">
              <a:latin typeface="Arial"/>
              <a:ea typeface="Arial"/>
              <a:cs typeface="Arial"/>
            </a:rPr>
            <a:t> or </a:t>
          </a:r>
          <a:r>
            <a:rPr lang="en-US" cap="none" sz="1000" b="1" i="0" u="none" baseline="0">
              <a:latin typeface="Arial"/>
              <a:ea typeface="Arial"/>
              <a:cs typeface="Arial"/>
            </a:rPr>
            <a:t>BallSim_Reverse </a:t>
          </a:r>
          <a:r>
            <a:rPr lang="en-US" cap="none" sz="1000" b="0" i="0" u="none" baseline="0">
              <a:latin typeface="Arial"/>
              <a:ea typeface="Arial"/>
              <a:cs typeface="Arial"/>
            </a:rPr>
            <a:t>files</a:t>
          </a:r>
          <a:r>
            <a:rPr lang="en-US" cap="none" sz="1000" b="0" i="0" u="none" baseline="0">
              <a:latin typeface="Arial"/>
              <a:ea typeface="Arial"/>
              <a:cs typeface="Arial"/>
            </a:rPr>
            <a:t>.
Such model is based on the so called </a:t>
          </a:r>
          <a:r>
            <a:rPr lang="en-US" cap="none" sz="1000" b="1" i="0" u="none" baseline="0">
              <a:latin typeface="Arial"/>
              <a:ea typeface="Arial"/>
              <a:cs typeface="Arial"/>
            </a:rPr>
            <a:t>Modern Theory of Comminution</a:t>
          </a:r>
          <a:r>
            <a:rPr lang="en-US" cap="none" sz="1000" b="0" i="0" u="none" baseline="0">
              <a:latin typeface="Arial"/>
              <a:ea typeface="Arial"/>
              <a:cs typeface="Arial"/>
            </a:rPr>
            <a:t>. This theory introduced two new sets of parameters : the </a:t>
          </a:r>
          <a:r>
            <a:rPr lang="en-US" cap="none" sz="1000" b="1" i="0" u="none" baseline="0">
              <a:latin typeface="Arial"/>
              <a:ea typeface="Arial"/>
              <a:cs typeface="Arial"/>
            </a:rPr>
            <a:t>Selection Function S</a:t>
          </a:r>
          <a:r>
            <a:rPr lang="en-US" cap="none" sz="1000" b="0" i="0" u="none" baseline="0">
              <a:latin typeface="Arial"/>
              <a:ea typeface="Arial"/>
              <a:cs typeface="Arial"/>
            </a:rPr>
            <a:t> and the </a:t>
          </a:r>
          <a:r>
            <a:rPr lang="en-US" cap="none" sz="1000" b="1" i="0" u="none" baseline="0">
              <a:latin typeface="Arial"/>
              <a:ea typeface="Arial"/>
              <a:cs typeface="Arial"/>
            </a:rPr>
            <a:t>Breakage Function B</a:t>
          </a:r>
          <a:r>
            <a:rPr lang="en-US" cap="none" sz="1000" b="0" i="0" u="none" baseline="0">
              <a:latin typeface="Arial"/>
              <a:ea typeface="Arial"/>
              <a:cs typeface="Arial"/>
            </a:rPr>
            <a:t>. The first set – also referred to as </a:t>
          </a:r>
          <a:r>
            <a:rPr lang="en-US" cap="none" sz="1000" b="1" i="0" u="none" baseline="0">
              <a:latin typeface="Arial"/>
              <a:ea typeface="Arial"/>
              <a:cs typeface="Arial"/>
            </a:rPr>
            <a:t>Grindability</a:t>
          </a:r>
          <a:r>
            <a:rPr lang="en-US" cap="none" sz="1000" b="0" i="0" u="none" baseline="0">
              <a:latin typeface="Arial"/>
              <a:ea typeface="Arial"/>
              <a:cs typeface="Arial"/>
            </a:rPr>
            <a:t> – relates to the grinding kinetics of each independent particle and the second set – also referred to as </a:t>
          </a:r>
          <a:r>
            <a:rPr lang="en-US" cap="none" sz="1000" b="1" i="0" u="none" baseline="0">
              <a:latin typeface="Arial"/>
              <a:ea typeface="Arial"/>
              <a:cs typeface="Arial"/>
            </a:rPr>
            <a:t>Distribution of Primary Fragments</a:t>
          </a:r>
          <a:r>
            <a:rPr lang="en-US" cap="none" sz="1000" b="0" i="0" u="none" baseline="0">
              <a:latin typeface="Arial"/>
              <a:ea typeface="Arial"/>
              <a:cs typeface="Arial"/>
            </a:rPr>
            <a:t> – characterizes the size distribution of the fragments produced as a result of breakage events.
The size-dependence of the </a:t>
          </a:r>
          <a:r>
            <a:rPr lang="en-US" cap="none" sz="1000" b="1" i="0" u="none" baseline="0">
              <a:latin typeface="Arial"/>
              <a:ea typeface="Arial"/>
              <a:cs typeface="Arial"/>
            </a:rPr>
            <a:t>Selection and Breakage Parameters</a:t>
          </a:r>
          <a:r>
            <a:rPr lang="en-US" cap="none" sz="1000" b="0" i="0" u="none" baseline="0">
              <a:latin typeface="Arial"/>
              <a:ea typeface="Arial"/>
              <a:cs typeface="Arial"/>
            </a:rPr>
            <a:t> is represented by the following relationships : 
  </a:t>
          </a:r>
          <a:r>
            <a:rPr lang="en-US" cap="none" sz="1000" b="1" i="0" u="none" baseline="0">
              <a:latin typeface="Arial"/>
              <a:ea typeface="Arial"/>
              <a:cs typeface="Arial"/>
            </a:rPr>
            <a:t> -  For the Selection Function :</a:t>
          </a:r>
          <a:r>
            <a:rPr lang="en-US" cap="none" sz="1000" b="0" i="0" u="none" baseline="0">
              <a:latin typeface="Arial"/>
              <a:ea typeface="Arial"/>
              <a:cs typeface="Arial"/>
            </a:rPr>
            <a:t>
                                                 S</a:t>
          </a:r>
          <a:r>
            <a:rPr lang="en-US" cap="none" sz="1000" b="0" i="0" u="none" baseline="-25000">
              <a:latin typeface="Arial"/>
              <a:ea typeface="Arial"/>
              <a:cs typeface="Arial"/>
            </a:rPr>
            <a:t>i</a:t>
          </a:r>
          <a:r>
            <a:rPr lang="en-US" cap="none" sz="1000" b="0" i="0" u="none" baseline="30000">
              <a:latin typeface="Arial"/>
              <a:ea typeface="Arial"/>
              <a:cs typeface="Arial"/>
            </a:rPr>
            <a:t>E</a:t>
          </a:r>
          <a:r>
            <a:rPr lang="en-US" cap="none" sz="1000" b="0" i="0" u="none" baseline="0">
              <a:latin typeface="Arial"/>
              <a:ea typeface="Arial"/>
              <a:cs typeface="Arial"/>
            </a:rPr>
            <a:t>  =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1</a:t>
          </a:r>
          <a:r>
            <a:rPr lang="en-US" cap="none" sz="1000" b="0" i="0" u="none" baseline="0">
              <a:latin typeface="Arial"/>
              <a:ea typeface="Arial"/>
              <a:cs typeface="Arial"/>
            </a:rPr>
            <a:t> / [ 1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crit</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2</a:t>
          </a:r>
          <a:r>
            <a:rPr lang="en-US" cap="none" sz="1000" b="0" i="0" u="none" baseline="0">
              <a:latin typeface="Arial"/>
              <a:ea typeface="Arial"/>
              <a:cs typeface="Arial"/>
            </a:rPr>
            <a:t> ]                                                              (1)
      with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i+1</a:t>
          </a:r>
          <a:r>
            <a:rPr lang="en-US" cap="none" sz="1000" b="0" i="0" u="none" baseline="0">
              <a:latin typeface="Arial"/>
              <a:ea typeface="Arial"/>
              <a:cs typeface="Arial"/>
            </a:rPr>
            <a:t>)</a:t>
          </a:r>
          <a:r>
            <a:rPr lang="en-US" cap="none" sz="1000" b="0" i="0" u="none" baseline="30000">
              <a:latin typeface="Arial"/>
              <a:ea typeface="Arial"/>
              <a:cs typeface="Arial"/>
            </a:rPr>
            <a:t>0.5</a:t>
          </a:r>
          <a:r>
            <a:rPr lang="en-US" cap="none" sz="1000" b="0" i="0" u="none" baseline="0">
              <a:latin typeface="Arial"/>
              <a:ea typeface="Arial"/>
              <a:cs typeface="Arial"/>
            </a:rPr>
            <a:t>  =  average particle size of the ‘i-th’ fraction. 
      An expanded form of this expression - also available in this simulation routine - is given by :
                             S</a:t>
          </a:r>
          <a:r>
            <a:rPr lang="en-US" cap="none" sz="1000" b="0" i="0" u="none" baseline="-25000">
              <a:latin typeface="Arial"/>
              <a:ea typeface="Arial"/>
              <a:cs typeface="Arial"/>
            </a:rPr>
            <a:t>i</a:t>
          </a:r>
          <a:r>
            <a:rPr lang="en-US" cap="none" sz="1000" b="0" i="0" u="none" baseline="30000">
              <a:latin typeface="Arial"/>
              <a:ea typeface="Arial"/>
              <a:cs typeface="Arial"/>
            </a:rPr>
            <a:t>E</a:t>
          </a:r>
          <a:r>
            <a:rPr lang="en-US" cap="none" sz="1000" b="0" i="0" u="none" baseline="0">
              <a:latin typeface="Arial"/>
              <a:ea typeface="Arial"/>
              <a:cs typeface="Arial"/>
            </a:rPr>
            <a:t>  =  [1/(1+</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a:t>
          </a:r>
          <a:r>
            <a:rPr lang="en-US" cap="none" sz="1000" b="0" i="0" u="none" baseline="0">
              <a:latin typeface="Symbol"/>
              <a:ea typeface="Symbol"/>
              <a:cs typeface="Symbol"/>
            </a:rPr>
            <a:t>a</a:t>
          </a:r>
          <a:r>
            <a:rPr lang="en-US" cap="none" sz="1000" b="0" i="0" u="none" baseline="-25000">
              <a:latin typeface="Arial"/>
              <a:ea typeface="Arial"/>
              <a:cs typeface="Arial"/>
            </a:rPr>
            <a:t>01</a:t>
          </a:r>
          <a:r>
            <a:rPr lang="en-US" cap="none" sz="1000" b="0" i="0" u="none" baseline="0">
              <a:latin typeface="Arial"/>
              <a:ea typeface="Arial"/>
              <a:cs typeface="Arial"/>
            </a:rPr>
            <a:t>)]   { </a:t>
          </a:r>
          <a:r>
            <a:rPr lang="en-US" cap="none" sz="1000" b="0" i="0" u="none" baseline="0">
              <a:latin typeface="Symbol"/>
              <a:ea typeface="Symbol"/>
              <a:cs typeface="Symbol"/>
            </a:rPr>
            <a:t>a</a:t>
          </a:r>
          <a:r>
            <a:rPr lang="en-US" cap="none" sz="1000" b="0" i="0" u="none" baseline="-25000">
              <a:latin typeface="Arial"/>
              <a:ea typeface="Arial"/>
              <a:cs typeface="Arial"/>
            </a:rPr>
            <a:t>01</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11</a:t>
          </a:r>
          <a:r>
            <a:rPr lang="en-US" cap="none" sz="1000" b="0" i="0" u="none" baseline="0">
              <a:latin typeface="Arial"/>
              <a:ea typeface="Arial"/>
              <a:cs typeface="Arial"/>
            </a:rPr>
            <a:t> / [ 1 + (d</a:t>
          </a:r>
          <a:r>
            <a:rPr lang="en-US" cap="none" sz="1000" b="0" i="0" u="none" baseline="-25000">
              <a:latin typeface="Arial"/>
              <a:ea typeface="Arial"/>
              <a:cs typeface="Arial"/>
            </a:rPr>
            <a:t>i</a:t>
          </a:r>
          <a:r>
            <a:rPr lang="en-US" cap="none" sz="1000" b="0" i="0" u="none" baseline="0">
              <a:latin typeface="Arial"/>
              <a:ea typeface="Arial"/>
              <a:cs typeface="Arial"/>
            </a:rPr>
            <a:t>* / d</a:t>
          </a:r>
          <a:r>
            <a:rPr lang="en-US" cap="none" sz="1000" b="0" i="0" u="none" baseline="-25000">
              <a:latin typeface="Arial"/>
              <a:ea typeface="Arial"/>
              <a:cs typeface="Arial"/>
            </a:rPr>
            <a:t>crit</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2</a:t>
          </a:r>
          <a:r>
            <a:rPr lang="en-US" cap="none" sz="1000" b="0" i="0" u="none" baseline="0">
              <a:latin typeface="Arial"/>
              <a:ea typeface="Arial"/>
              <a:cs typeface="Arial"/>
            </a:rPr>
            <a:t> ] + </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Symbol"/>
              <a:ea typeface="Symbol"/>
              <a:cs typeface="Symbol"/>
            </a:rPr>
            <a:t>a</a:t>
          </a:r>
          <a:r>
            <a:rPr lang="en-US" cap="none" sz="800" b="0" i="0" u="none" baseline="0">
              <a:latin typeface="Arial"/>
              <a:ea typeface="Arial"/>
              <a:cs typeface="Arial"/>
            </a:rPr>
            <a:t>12</a:t>
          </a:r>
          <a:r>
            <a:rPr lang="en-US" cap="none" sz="1000" b="0" i="0" u="none" baseline="0">
              <a:latin typeface="Arial"/>
              <a:ea typeface="Arial"/>
              <a:cs typeface="Arial"/>
            </a:rPr>
            <a:t> }                              (1e)
  </a:t>
          </a:r>
          <a:r>
            <a:rPr lang="en-US" cap="none" sz="1000" b="1" i="0" u="none" baseline="0">
              <a:latin typeface="Arial"/>
              <a:ea typeface="Arial"/>
              <a:cs typeface="Arial"/>
            </a:rPr>
            <a:t> -  For the Breakage Function :</a:t>
          </a:r>
          <a:r>
            <a:rPr lang="en-US" cap="none" sz="1000" b="0" i="0" u="none" baseline="0">
              <a:latin typeface="Arial"/>
              <a:ea typeface="Arial"/>
              <a:cs typeface="Arial"/>
            </a:rPr>
            <a:t>
                                                      B</a:t>
          </a:r>
          <a:r>
            <a:rPr lang="en-US" cap="none" sz="1000" b="0" i="0" u="none" baseline="-25000">
              <a:latin typeface="Arial"/>
              <a:ea typeface="Arial"/>
              <a:cs typeface="Arial"/>
            </a:rPr>
            <a:t>ij</a:t>
          </a:r>
          <a:r>
            <a:rPr lang="en-US" cap="none" sz="1000" b="0" i="0" u="none" baseline="0">
              <a:latin typeface="Arial"/>
              <a:ea typeface="Arial"/>
              <a:cs typeface="Arial"/>
            </a:rPr>
            <a:t>  =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/d</a:t>
          </a:r>
          <a:r>
            <a:rPr lang="en-US" cap="none" sz="1000" b="0" i="0" u="none" baseline="-25000">
              <a:latin typeface="Arial"/>
              <a:ea typeface="Arial"/>
              <a:cs typeface="Arial"/>
            </a:rPr>
            <a:t>j+1</a:t>
          </a:r>
          <a:r>
            <a:rPr lang="en-US" cap="none" sz="1000" b="0" i="0" u="none" baseline="0">
              <a:latin typeface="Arial"/>
              <a:ea typeface="Arial"/>
              <a:cs typeface="Arial"/>
            </a:rPr>
            <a:t>)</a:t>
          </a:r>
          <a:r>
            <a:rPr lang="en-US" cap="none" sz="1000" b="0" i="0" u="none" baseline="30000">
              <a:latin typeface="Symbol"/>
              <a:ea typeface="Symbol"/>
              <a:cs typeface="Symbol"/>
            </a:rPr>
            <a:t>b</a:t>
          </a:r>
          <a:r>
            <a:rPr lang="en-US" cap="none" sz="800" b="0" i="0" u="none" baseline="0">
              <a:latin typeface="Arial"/>
              <a:ea typeface="Arial"/>
              <a:cs typeface="Arial"/>
            </a:rPr>
            <a:t>1</a:t>
          </a:r>
          <a:r>
            <a:rPr lang="en-US" cap="none" sz="1000" b="0" i="0" u="none" baseline="0">
              <a:latin typeface="Arial"/>
              <a:ea typeface="Arial"/>
              <a:cs typeface="Arial"/>
            </a:rPr>
            <a:t> + (1-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i</a:t>
          </a:r>
          <a:r>
            <a:rPr lang="en-US" cap="none" sz="1000" b="0" i="0" u="none" baseline="0">
              <a:latin typeface="Arial"/>
              <a:ea typeface="Arial"/>
              <a:cs typeface="Arial"/>
            </a:rPr>
            <a:t>/d</a:t>
          </a:r>
          <a:r>
            <a:rPr lang="en-US" cap="none" sz="1000" b="0" i="0" u="none" baseline="-25000">
              <a:latin typeface="Arial"/>
              <a:ea typeface="Arial"/>
              <a:cs typeface="Arial"/>
            </a:rPr>
            <a:t>j+1</a:t>
          </a:r>
          <a:r>
            <a:rPr lang="en-US" cap="none" sz="1000" b="0" i="0" u="none" baseline="0">
              <a:latin typeface="Arial"/>
              <a:ea typeface="Arial"/>
              <a:cs typeface="Arial"/>
            </a:rPr>
            <a:t>)</a:t>
          </a:r>
          <a:r>
            <a:rPr lang="en-US" cap="none" sz="1000" b="0" i="0" u="none" baseline="30000">
              <a:latin typeface="Symbol"/>
              <a:ea typeface="Symbol"/>
              <a:cs typeface="Symbol"/>
            </a:rPr>
            <a:t>b</a:t>
          </a:r>
          <a:r>
            <a:rPr lang="en-US" cap="none" sz="800" b="0" i="0" u="none" baseline="0">
              <a:latin typeface="Arial"/>
              <a:ea typeface="Arial"/>
              <a:cs typeface="Arial"/>
            </a:rPr>
            <a:t>2</a:t>
          </a:r>
          <a:r>
            <a:rPr lang="en-US" cap="none" sz="1000" b="0" i="0" u="none" baseline="0">
              <a:latin typeface="Arial"/>
              <a:ea typeface="Arial"/>
              <a:cs typeface="Arial"/>
            </a:rPr>
            <a:t>                                                        (2)
      An expanded form of this expression - also available in this estimation routine - is obtained by replacing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in
      Equation 2 by :
                                             </a:t>
          </a:r>
          <a:r>
            <a:rPr lang="en-US" cap="none" sz="1000" b="0" i="0" u="none" baseline="0">
              <a:latin typeface="Symbol"/>
              <a:ea typeface="Symbol"/>
              <a:cs typeface="Symbol"/>
            </a:rPr>
            <a:t>b</a:t>
          </a:r>
          <a:r>
            <a:rPr lang="en-US" cap="none" sz="1000" b="0" i="0" u="none" baseline="-25000">
              <a:latin typeface="Arial"/>
              <a:ea typeface="Arial"/>
              <a:cs typeface="Arial"/>
            </a:rPr>
            <a:t>0j </a:t>
          </a:r>
          <a:r>
            <a:rPr lang="en-US" cap="none" sz="1000" b="0" i="0" u="none" baseline="0">
              <a:latin typeface="Arial"/>
              <a:ea typeface="Arial"/>
              <a:cs typeface="Arial"/>
            </a:rPr>
            <a:t>  =  </a:t>
          </a:r>
          <a:r>
            <a:rPr lang="en-US" cap="none" sz="1000" b="0" i="0" u="none" baseline="0">
              <a:latin typeface="Symbol"/>
              <a:ea typeface="Symbol"/>
              <a:cs typeface="Symbol"/>
            </a:rPr>
            <a:t>b</a:t>
          </a:r>
          <a:r>
            <a:rPr lang="en-US" cap="none" sz="1000" b="0" i="0" u="none" baseline="-25000">
              <a:latin typeface="Arial"/>
              <a:ea typeface="Arial"/>
              <a:cs typeface="Arial"/>
            </a:rPr>
            <a:t>00</a:t>
          </a:r>
          <a:r>
            <a:rPr lang="en-US" cap="none" sz="1000" b="0" i="0" u="none" baseline="0">
              <a:latin typeface="Arial"/>
              <a:ea typeface="Arial"/>
              <a:cs typeface="Arial"/>
            </a:rPr>
            <a:t>(d</a:t>
          </a:r>
          <a:r>
            <a:rPr lang="en-US" cap="none" sz="1000" b="0" i="0" u="none" baseline="-25000">
              <a:latin typeface="Arial"/>
              <a:ea typeface="Arial"/>
              <a:cs typeface="Arial"/>
            </a:rPr>
            <a:t>j+1</a:t>
          </a:r>
          <a:r>
            <a:rPr lang="en-US" cap="none" sz="1000" b="0" i="0" u="none" baseline="0">
              <a:latin typeface="Arial"/>
              <a:ea typeface="Arial"/>
              <a:cs typeface="Arial"/>
            </a:rPr>
            <a:t>/1000)</a:t>
          </a:r>
          <a:r>
            <a:rPr lang="en-US" cap="none" sz="1000" b="0" i="0" u="none" baseline="30000">
              <a:latin typeface="Arial"/>
              <a:ea typeface="Arial"/>
              <a:cs typeface="Arial"/>
            </a:rPr>
            <a:t> -</a:t>
          </a:r>
          <a:r>
            <a:rPr lang="en-US" cap="none" sz="1000" b="0" i="0" u="none" baseline="30000">
              <a:latin typeface="Symbol"/>
              <a:ea typeface="Symbol"/>
              <a:cs typeface="Symbol"/>
            </a:rPr>
            <a:t>b</a:t>
          </a:r>
          <a:r>
            <a:rPr lang="en-US" cap="none" sz="800" b="0" i="0" u="none" baseline="0">
              <a:latin typeface="Arial"/>
              <a:ea typeface="Arial"/>
              <a:cs typeface="Arial"/>
            </a:rPr>
            <a:t>01</a:t>
          </a:r>
          <a:r>
            <a:rPr lang="en-US" cap="none" sz="1000" b="0" i="0" u="none" baseline="0">
              <a:latin typeface="Arial"/>
              <a:ea typeface="Arial"/>
              <a:cs typeface="Arial"/>
            </a:rPr>
            <a:t>               , never &gt; 1                                                   (2e)
</a:t>
          </a:r>
          <a:r>
            <a:rPr lang="en-US" cap="none" sz="1000" b="1" i="0" u="none" baseline="0">
              <a:latin typeface="Arial"/>
              <a:ea typeface="Arial"/>
              <a:cs typeface="Arial"/>
            </a:rPr>
            <a:t>These expanded forms for S</a:t>
          </a:r>
          <a:r>
            <a:rPr lang="en-US" cap="none" sz="1000" b="1" i="0" u="none" baseline="-25000">
              <a:latin typeface="Arial"/>
              <a:ea typeface="Arial"/>
              <a:cs typeface="Arial"/>
            </a:rPr>
            <a:t>i</a:t>
          </a:r>
          <a:r>
            <a:rPr lang="en-US" cap="none" sz="1000" b="1" i="0" u="none" baseline="0">
              <a:latin typeface="Arial"/>
              <a:ea typeface="Arial"/>
              <a:cs typeface="Arial"/>
            </a:rPr>
            <a:t> and B</a:t>
          </a:r>
          <a:r>
            <a:rPr lang="en-US" cap="none" sz="1000" b="1" i="0" u="none" baseline="-25000">
              <a:latin typeface="Arial"/>
              <a:ea typeface="Arial"/>
              <a:cs typeface="Arial"/>
            </a:rPr>
            <a:t>ij</a:t>
          </a:r>
          <a:r>
            <a:rPr lang="en-US" cap="none" sz="1000" b="1" i="0" u="none" baseline="0">
              <a:latin typeface="Arial"/>
              <a:ea typeface="Arial"/>
              <a:cs typeface="Arial"/>
            </a:rPr>
            <a:t> are intended to provide the model greater descriptive flexibility when tuning the model to actual specific grinding systems but, since they increment the total number of ore characteristic parameters to be estimated, its use should be avoided whenever possible</a:t>
          </a:r>
          <a:r>
            <a:rPr lang="en-US" cap="none" sz="1000" b="0" i="0" u="none" baseline="0">
              <a:latin typeface="Arial"/>
              <a:ea typeface="Arial"/>
              <a:cs typeface="Arial"/>
            </a:rPr>
            <a:t>. In any case, the proposed expanded forms reduce to the normal forms if both </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 and </a:t>
          </a:r>
          <a:r>
            <a:rPr lang="en-US" cap="none" sz="1000" b="0" i="0" u="none" baseline="0">
              <a:latin typeface="Symbol"/>
              <a:ea typeface="Symbol"/>
              <a:cs typeface="Symbol"/>
            </a:rPr>
            <a:t>b</a:t>
          </a:r>
          <a:r>
            <a:rPr lang="en-US" cap="none" sz="1000" b="0" i="0" u="none" baseline="-25000">
              <a:latin typeface="Arial"/>
              <a:ea typeface="Arial"/>
              <a:cs typeface="Arial"/>
            </a:rPr>
            <a:t>01</a:t>
          </a:r>
          <a:r>
            <a:rPr lang="en-US" cap="none" sz="1000" b="0" i="0" u="none" baseline="0">
              <a:latin typeface="Arial"/>
              <a:ea typeface="Arial"/>
              <a:cs typeface="Arial"/>
            </a:rPr>
            <a:t> are set equal to zero.
</a:t>
          </a:r>
        </a:p>
      </xdr:txBody>
    </xdr:sp>
    <xdr:clientData/>
  </xdr:twoCellAnchor>
  <xdr:twoCellAnchor>
    <xdr:from>
      <xdr:col>0</xdr:col>
      <xdr:colOff>104775</xdr:colOff>
      <xdr:row>58</xdr:row>
      <xdr:rowOff>0</xdr:rowOff>
    </xdr:from>
    <xdr:to>
      <xdr:col>11</xdr:col>
      <xdr:colOff>600075</xdr:colOff>
      <xdr:row>108</xdr:row>
      <xdr:rowOff>142875</xdr:rowOff>
    </xdr:to>
    <xdr:sp>
      <xdr:nvSpPr>
        <xdr:cNvPr id="2" name="TextBox 4"/>
        <xdr:cNvSpPr txBox="1">
          <a:spLocks noChangeArrowheads="1"/>
        </xdr:cNvSpPr>
      </xdr:nvSpPr>
      <xdr:spPr>
        <a:xfrm>
          <a:off x="104775" y="9391650"/>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0" i="0" u="none" baseline="0">
              <a:latin typeface="Arial"/>
              <a:ea typeface="Arial"/>
              <a:cs typeface="Arial"/>
            </a:rPr>
            <a:t>On the basis of </a:t>
          </a:r>
          <a:r>
            <a:rPr lang="en-US" cap="none" sz="1000" b="1" i="0" u="none" baseline="0">
              <a:latin typeface="Arial"/>
              <a:ea typeface="Arial"/>
              <a:cs typeface="Arial"/>
            </a:rPr>
            <a:t>Laboratory Scale Data</a:t>
          </a:r>
          <a:r>
            <a:rPr lang="en-US" cap="none" sz="1000" b="0" i="0" u="none" baseline="0">
              <a:latin typeface="Arial"/>
              <a:ea typeface="Arial"/>
              <a:cs typeface="Arial"/>
            </a:rPr>
            <a:t>, like those typically obtained from batch grinding tests in small diameter ball mills, the </a:t>
          </a:r>
          <a:r>
            <a:rPr lang="en-US" cap="none" sz="1000" b="1" i="0" u="none" baseline="0">
              <a:latin typeface="Arial"/>
              <a:ea typeface="Arial"/>
              <a:cs typeface="Arial"/>
            </a:rPr>
            <a:t>BallParam_Batch</a:t>
          </a:r>
          <a:r>
            <a:rPr lang="en-US" cap="none" sz="1000" b="0" i="0" u="none" baseline="0">
              <a:latin typeface="Arial"/>
              <a:ea typeface="Arial"/>
              <a:cs typeface="Arial"/>
            </a:rPr>
            <a:t> routine allows for the calculation of all </a:t>
          </a:r>
          <a:r>
            <a:rPr lang="en-US" cap="none" sz="1000" b="0" i="0" u="none" baseline="0">
              <a:latin typeface="Symbol"/>
              <a:ea typeface="Symbol"/>
              <a:cs typeface="Symbol"/>
            </a:rPr>
            <a:t>a</a:t>
          </a:r>
          <a:r>
            <a:rPr lang="en-US" cap="none" sz="1000" b="0" i="0" u="none" baseline="0">
              <a:latin typeface="Arial"/>
              <a:ea typeface="Arial"/>
              <a:cs typeface="Arial"/>
            </a:rPr>
            <a:t>'s and </a:t>
          </a:r>
          <a:r>
            <a:rPr lang="en-US" cap="none" sz="1000" b="0" i="0" u="none" baseline="0">
              <a:latin typeface="Symbol"/>
              <a:ea typeface="Symbol"/>
              <a:cs typeface="Symbol"/>
            </a:rPr>
            <a:t>b</a:t>
          </a:r>
          <a:r>
            <a:rPr lang="en-US" cap="none" sz="1000" b="0" i="0" u="none" baseline="0">
              <a:latin typeface="Arial"/>
              <a:ea typeface="Arial"/>
              <a:cs typeface="Arial"/>
            </a:rPr>
            <a:t>'s (including d</a:t>
          </a:r>
          <a:r>
            <a:rPr lang="en-US" cap="none" sz="1000" b="0" i="0" u="none" baseline="-25000">
              <a:latin typeface="Arial"/>
              <a:ea typeface="Arial"/>
              <a:cs typeface="Arial"/>
            </a:rPr>
            <a:t>crit</a:t>
          </a:r>
          <a:r>
            <a:rPr lang="en-US" cap="none" sz="1000" b="0" i="0" u="none" baseline="0">
              <a:latin typeface="Arial"/>
              <a:ea typeface="Arial"/>
              <a:cs typeface="Arial"/>
            </a:rPr>
            <a:t>) that minimize the least-squares </a:t>
          </a:r>
          <a:r>
            <a:rPr lang="en-US" cap="none" sz="1000" b="1" i="0" u="none" baseline="0">
              <a:latin typeface="Arial"/>
              <a:ea typeface="Arial"/>
              <a:cs typeface="Arial"/>
            </a:rPr>
            <a:t>Objective Function</a:t>
          </a:r>
          <a:r>
            <a:rPr lang="en-US" cap="none" sz="1000" b="0" i="0" u="none" baseline="0">
              <a:latin typeface="Arial"/>
              <a:ea typeface="Arial"/>
              <a:cs typeface="Arial"/>
            </a:rPr>
            <a:t> :
                                                                               </a:t>
          </a:r>
          <a:r>
            <a:rPr lang="en-US" cap="none" sz="1000" b="0" i="0" u="none" baseline="-25000">
              <a:latin typeface="Arial"/>
              <a:ea typeface="Arial"/>
              <a:cs typeface="Arial"/>
            </a:rPr>
            <a:t>n</a:t>
          </a:r>
          <a:r>
            <a:rPr lang="en-US" cap="none" sz="1000" b="0" i="0" u="none" baseline="0">
              <a:latin typeface="Arial"/>
              <a:ea typeface="Arial"/>
              <a:cs typeface="Arial"/>
            </a:rPr>
            <a:t>
                                                                     </a:t>
          </a:r>
          <a:r>
            <a:rPr lang="en-US" cap="none" sz="1200" b="0" i="0" u="none" baseline="0">
              <a:latin typeface="Symbol"/>
              <a:ea typeface="Symbol"/>
              <a:cs typeface="Symbol"/>
            </a:rPr>
            <a:t>f</a:t>
          </a:r>
          <a:r>
            <a:rPr lang="en-US" cap="none" sz="1000" b="0" i="0" u="none" baseline="0">
              <a:latin typeface="Arial"/>
              <a:ea typeface="Arial"/>
              <a:cs typeface="Arial"/>
            </a:rPr>
            <a:t>  =  </a:t>
          </a:r>
          <a:r>
            <a:rPr lang="en-US" cap="none" sz="1400" b="0" i="0" u="none" baseline="0">
              <a:latin typeface="Symbol"/>
              <a:ea typeface="Symbol"/>
              <a:cs typeface="Symbol"/>
            </a:rPr>
            <a:t>S</a:t>
          </a:r>
          <a:r>
            <a:rPr lang="en-US" cap="none" sz="1000" b="0" i="0" u="none" baseline="0">
              <a:latin typeface="Arial"/>
              <a:ea typeface="Arial"/>
              <a:cs typeface="Arial"/>
            </a:rPr>
            <a:t>  w</a:t>
          </a:r>
          <a:r>
            <a:rPr lang="en-US" cap="none" sz="1000" b="0" i="0" u="none" baseline="-25000">
              <a:latin typeface="Arial"/>
              <a:ea typeface="Arial"/>
              <a:cs typeface="Arial"/>
            </a:rPr>
            <a:t>i</a:t>
          </a:r>
          <a:r>
            <a:rPr lang="en-US" cap="none" sz="1000" b="0" i="0" u="none" baseline="0">
              <a:latin typeface="Arial"/>
              <a:ea typeface="Arial"/>
              <a:cs typeface="Arial"/>
            </a:rPr>
            <a:t> [(</a:t>
          </a:r>
          <a:r>
            <a:rPr lang="en-US" cap="none" sz="1000" b="1" i="0"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 - </a:t>
          </a:r>
          <a:r>
            <a:rPr lang="en-US" cap="none" sz="1000" b="0" i="1"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1"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a:t>
          </a:r>
          <a:r>
            <a:rPr lang="en-US" cap="none" sz="1000" b="0" i="0" u="none" baseline="30000">
              <a:latin typeface="Arial"/>
              <a:ea typeface="Arial"/>
              <a:cs typeface="Arial"/>
            </a:rPr>
            <a:t>2</a:t>
          </a:r>
          <a:r>
            <a:rPr lang="en-US" cap="none" sz="1000" b="0" i="0" u="none" baseline="0">
              <a:latin typeface="Arial"/>
              <a:ea typeface="Arial"/>
              <a:cs typeface="Arial"/>
            </a:rPr>
            <a:t>                                                              (3)
                                                                             </a:t>
          </a:r>
          <a:r>
            <a:rPr lang="en-US" cap="none" sz="1000" b="0" i="0" u="none" baseline="30000">
              <a:latin typeface="Arial"/>
              <a:ea typeface="Arial"/>
              <a:cs typeface="Arial"/>
            </a:rPr>
            <a:t>i = 1</a:t>
          </a:r>
          <a:r>
            <a:rPr lang="en-US" cap="none" sz="1000" b="0" i="0" u="none" baseline="0">
              <a:latin typeface="Arial"/>
              <a:ea typeface="Arial"/>
              <a:cs typeface="Arial"/>
            </a:rPr>
            <a:t>
where the </a:t>
          </a:r>
          <a:r>
            <a:rPr lang="en-US" cap="none" sz="1000" b="1" i="0"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's represent the </a:t>
          </a:r>
          <a:r>
            <a:rPr lang="en-US" cap="none" sz="1000" b="1" i="0" u="none" baseline="0">
              <a:latin typeface="Arial"/>
              <a:ea typeface="Arial"/>
              <a:cs typeface="Arial"/>
            </a:rPr>
            <a:t>experimental </a:t>
          </a:r>
          <a:r>
            <a:rPr lang="en-US" cap="none" sz="1000" b="0" i="0" u="none" baseline="0">
              <a:latin typeface="Arial"/>
              <a:ea typeface="Arial"/>
              <a:cs typeface="Arial"/>
            </a:rPr>
            <a:t>size distribution of the mill product (as % retained on screen 'i' ) and the </a:t>
          </a:r>
          <a:r>
            <a:rPr lang="en-US" cap="none" sz="1000" b="0" i="1"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's represent the  </a:t>
          </a:r>
          <a:r>
            <a:rPr lang="en-US" cap="none" sz="1000" b="1" i="0" u="none" baseline="0">
              <a:latin typeface="Arial"/>
              <a:ea typeface="Arial"/>
              <a:cs typeface="Arial"/>
            </a:rPr>
            <a:t>model</a:t>
          </a:r>
          <a:r>
            <a:rPr lang="en-US" cap="none" sz="1000" b="0" i="0" u="none" baseline="0">
              <a:latin typeface="Arial"/>
              <a:ea typeface="Arial"/>
              <a:cs typeface="Arial"/>
            </a:rPr>
            <a:t> response for each corresponding </a:t>
          </a:r>
          <a:r>
            <a:rPr lang="en-US" cap="none" sz="1000" b="1" i="0" u="none" baseline="0">
              <a:latin typeface="Arial"/>
              <a:ea typeface="Arial"/>
              <a:cs typeface="Arial"/>
            </a:rPr>
            <a:t>f</a:t>
          </a:r>
          <a:r>
            <a:rPr lang="en-US" cap="none" sz="1000" b="0" i="0" u="none" baseline="-25000">
              <a:latin typeface="Arial"/>
              <a:ea typeface="Arial"/>
              <a:cs typeface="Arial"/>
            </a:rPr>
            <a:t>i</a:t>
          </a:r>
          <a:r>
            <a:rPr lang="en-US" cap="none" sz="1000" b="0" i="0" u="none" baseline="0">
              <a:latin typeface="Arial"/>
              <a:ea typeface="Arial"/>
              <a:cs typeface="Arial"/>
            </a:rPr>
            <a:t>, for a given set of model parameters. The </a:t>
          </a:r>
          <a:r>
            <a:rPr lang="en-US" cap="none" sz="1000" b="0" i="0" u="none" baseline="0">
              <a:latin typeface="Symbol"/>
              <a:ea typeface="Symbol"/>
              <a:cs typeface="Symbol"/>
            </a:rPr>
            <a:t>a</a:t>
          </a:r>
          <a:r>
            <a:rPr lang="en-US" cap="none" sz="1000" b="0" i="0" u="none" baseline="0">
              <a:latin typeface="Arial"/>
              <a:ea typeface="Arial"/>
              <a:cs typeface="Arial"/>
            </a:rPr>
            <a:t>'s and </a:t>
          </a:r>
          <a:r>
            <a:rPr lang="en-US" cap="none" sz="1000" b="0" i="0" u="none" baseline="0">
              <a:latin typeface="Symbol"/>
              <a:ea typeface="Symbol"/>
              <a:cs typeface="Symbol"/>
            </a:rPr>
            <a:t>b</a:t>
          </a:r>
          <a:r>
            <a:rPr lang="en-US" cap="none" sz="1000" b="0" i="0" u="none" baseline="0">
              <a:latin typeface="Arial"/>
              <a:ea typeface="Arial"/>
              <a:cs typeface="Arial"/>
            </a:rPr>
            <a:t>'s (including d</a:t>
          </a:r>
          <a:r>
            <a:rPr lang="en-US" cap="none" sz="1000" b="0" i="0" u="none" baseline="-25000">
              <a:latin typeface="Arial"/>
              <a:ea typeface="Arial"/>
              <a:cs typeface="Arial"/>
            </a:rPr>
            <a:t>crit</a:t>
          </a:r>
          <a:r>
            <a:rPr lang="en-US" cap="none" sz="1000" b="0" i="0" u="none" baseline="0">
              <a:latin typeface="Arial"/>
              <a:ea typeface="Arial"/>
              <a:cs typeface="Arial"/>
            </a:rPr>
            <a:t>) that yield the minimum possible value of </a:t>
          </a:r>
          <a:r>
            <a:rPr lang="en-US" cap="none" sz="1200" b="0" i="0" u="none" baseline="0">
              <a:latin typeface="Symbol"/>
              <a:ea typeface="Symbol"/>
              <a:cs typeface="Symbol"/>
            </a:rPr>
            <a:t>f</a:t>
          </a:r>
          <a:r>
            <a:rPr lang="en-US" cap="none" sz="1000" b="0" i="0" u="none" baseline="0">
              <a:latin typeface="Arial"/>
              <a:ea typeface="Arial"/>
              <a:cs typeface="Arial"/>
            </a:rPr>
            <a:t> are so considered to be representative of the particular ore and test conditions under analysis. 
</a:t>
          </a:r>
          <a:r>
            <a:rPr lang="en-US" cap="none" sz="1000" b="0" i="0" u="none" baseline="0">
              <a:latin typeface="Arial"/>
              <a:ea typeface="Arial"/>
              <a:cs typeface="Arial"/>
            </a:rPr>
            <a:t>
Also in Equation 3, the w</a:t>
          </a:r>
          <a:r>
            <a:rPr lang="en-US" cap="none" sz="1000" b="0" i="0" u="none" baseline="-25000">
              <a:latin typeface="Arial"/>
              <a:ea typeface="Arial"/>
              <a:cs typeface="Arial"/>
            </a:rPr>
            <a:t>i</a:t>
          </a:r>
          <a:r>
            <a:rPr lang="en-US" cap="none" sz="1000" b="0" i="0" u="none" baseline="0">
              <a:latin typeface="Arial"/>
              <a:ea typeface="Arial"/>
              <a:cs typeface="Arial"/>
            </a:rPr>
            <a:t>'s represent user defined </a:t>
          </a:r>
          <a:r>
            <a:rPr lang="en-US" cap="none" sz="1000" b="1" i="0" u="none" baseline="0">
              <a:latin typeface="Arial"/>
              <a:ea typeface="Arial"/>
              <a:cs typeface="Arial"/>
            </a:rPr>
            <a:t>Weighting Factors </a:t>
          </a:r>
          <a:r>
            <a:rPr lang="en-US" cap="none" sz="1000" b="0" i="0" u="none" baseline="0">
              <a:latin typeface="Arial"/>
              <a:ea typeface="Arial"/>
              <a:cs typeface="Arial"/>
            </a:rPr>
            <a:t>that quantify</a:t>
          </a:r>
          <a:r>
            <a:rPr lang="en-US" cap="none" sz="1000" b="0" i="0" u="none" baseline="0">
              <a:latin typeface="Arial"/>
              <a:ea typeface="Arial"/>
              <a:cs typeface="Arial"/>
            </a:rPr>
            <a:t> the relative quality and reliability of each particular mesh value with respect to the other screens data. Relatively high values of such weighting factors indicate more reliable measurements. At the extreme, a w</a:t>
          </a:r>
          <a:r>
            <a:rPr lang="en-US" cap="none" sz="1000" b="0" i="0" u="none" baseline="-25000">
              <a:latin typeface="Arial"/>
              <a:ea typeface="Arial"/>
              <a:cs typeface="Arial"/>
            </a:rPr>
            <a:t>i</a:t>
          </a:r>
          <a:r>
            <a:rPr lang="en-US" cap="none" sz="1000" b="0" i="0" u="none" baseline="0">
              <a:latin typeface="Arial"/>
              <a:ea typeface="Arial"/>
              <a:cs typeface="Arial"/>
            </a:rPr>
            <a:t> factor equal to zero means that this particular measurement is not being included in the </a:t>
          </a:r>
          <a:r>
            <a:rPr lang="en-US" cap="none" sz="1000" b="1" i="0" u="none" baseline="0">
              <a:latin typeface="Arial"/>
              <a:ea typeface="Arial"/>
              <a:cs typeface="Arial"/>
            </a:rPr>
            <a:t>Objective Function</a:t>
          </a:r>
          <a:r>
            <a:rPr lang="en-US" cap="none" sz="1000" b="0" i="0" u="none" baseline="0">
              <a:latin typeface="Arial"/>
              <a:ea typeface="Arial"/>
              <a:cs typeface="Arial"/>
            </a:rPr>
            <a:t>.
The minimization problem stated above may be readily solved with the aid of the </a:t>
          </a:r>
          <a:r>
            <a:rPr lang="en-US" cap="none" sz="1000" b="1" i="0" u="none" baseline="0">
              <a:latin typeface="Arial"/>
              <a:ea typeface="Arial"/>
              <a:cs typeface="Arial"/>
            </a:rPr>
            <a:t>Excel Subroutine Solver</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Data Input and Program Execution :</a:t>
          </a:r>
          <a:r>
            <a:rPr lang="en-US" cap="none" sz="1000" b="0" i="0" u="none" baseline="0">
              <a:latin typeface="Arial"/>
              <a:ea typeface="Arial"/>
              <a:cs typeface="Arial"/>
            </a:rPr>
            <a:t>
Most of the data required by the algorithm must be defined in each corresponding unprotected </a:t>
          </a:r>
          <a:r>
            <a:rPr lang="en-US" cap="none" sz="1000" b="1" i="0" u="none" baseline="0">
              <a:latin typeface="Arial"/>
              <a:ea typeface="Arial"/>
              <a:cs typeface="Arial"/>
            </a:rPr>
            <a:t>white background cell</a:t>
          </a:r>
          <a:r>
            <a:rPr lang="en-US" cap="none" sz="1000" b="0" i="0" u="none" baseline="0">
              <a:latin typeface="Arial"/>
              <a:ea typeface="Arial"/>
              <a:cs typeface="Arial"/>
            </a:rPr>
            <a:t> - inside the red double-lined border - of the here attached </a:t>
          </a:r>
          <a:r>
            <a:rPr lang="en-US" cap="none" sz="1000" b="1" i="0" u="none" baseline="0">
              <a:latin typeface="Arial"/>
              <a:ea typeface="Arial"/>
              <a:cs typeface="Arial"/>
            </a:rPr>
            <a:t>Data_File</a:t>
          </a:r>
          <a:r>
            <a:rPr lang="en-US" cap="none" sz="1000" b="0" i="0" u="none" baseline="0">
              <a:latin typeface="Arial"/>
              <a:ea typeface="Arial"/>
              <a:cs typeface="Arial"/>
            </a:rPr>
            <a:t> worksheet. </a:t>
          </a:r>
          <a:r>
            <a:rPr lang="en-US" cap="none" sz="1000" b="1" i="0" u="none" baseline="0">
              <a:latin typeface="Arial"/>
              <a:ea typeface="Arial"/>
              <a:cs typeface="Arial"/>
            </a:rPr>
            <a:t>Gray background cells</a:t>
          </a:r>
          <a:r>
            <a:rPr lang="en-US" cap="none" sz="1000" b="0" i="0" u="none" baseline="0">
              <a:latin typeface="Arial"/>
              <a:ea typeface="Arial"/>
              <a:cs typeface="Arial"/>
            </a:rPr>
            <a:t> contain the results of the corresponding formula there defined and are protected to avoid any accidental editing.
The remaining information required to run the program is entered in the </a:t>
          </a:r>
          <a:r>
            <a:rPr lang="en-US" cap="none" sz="1000" b="1" i="0" u="none" baseline="0">
              <a:latin typeface="Arial"/>
              <a:ea typeface="Arial"/>
              <a:cs typeface="Arial"/>
            </a:rPr>
            <a:t>Control_Panel</a:t>
          </a:r>
          <a:r>
            <a:rPr lang="en-US" cap="none" sz="1000" b="0" i="0" u="none" baseline="0">
              <a:latin typeface="Arial"/>
              <a:ea typeface="Arial"/>
              <a:cs typeface="Arial"/>
            </a:rPr>
            <a:t> worksheet, where the user is requested to provide initial guesses of the grinding parameters listed above.
To run the program, select the objective function </a:t>
          </a:r>
          <a:r>
            <a:rPr lang="en-US" cap="none" sz="1000" b="1" i="0" u="none" baseline="0">
              <a:solidFill>
                <a:srgbClr val="FF0000"/>
              </a:solidFill>
              <a:latin typeface="Arial"/>
              <a:ea typeface="Arial"/>
              <a:cs typeface="Arial"/>
            </a:rPr>
            <a:t>Cell E27</a:t>
          </a:r>
          <a:r>
            <a:rPr lang="en-US" cap="none" sz="1000" b="0" i="0" u="none" baseline="0">
              <a:latin typeface="Arial"/>
              <a:ea typeface="Arial"/>
              <a:cs typeface="Arial"/>
            </a:rPr>
            <a:t> in </a:t>
          </a:r>
          <a:r>
            <a:rPr lang="en-US" cap="none" sz="1000" b="1" i="0" u="none" baseline="0">
              <a:latin typeface="Arial"/>
              <a:ea typeface="Arial"/>
              <a:cs typeface="Arial"/>
            </a:rPr>
            <a:t>Control_Panel</a:t>
          </a:r>
          <a:r>
            <a:rPr lang="en-US" cap="none" sz="1000" b="0" i="0" u="none" baseline="0">
              <a:latin typeface="Arial"/>
              <a:ea typeface="Arial"/>
              <a:cs typeface="Arial"/>
            </a:rPr>
            <a:t> and then, from the </a:t>
          </a:r>
          <a:r>
            <a:rPr lang="en-US" cap="none" sz="1000" b="1" i="0" u="none" baseline="0">
              <a:latin typeface="Arial"/>
              <a:ea typeface="Arial"/>
              <a:cs typeface="Arial"/>
            </a:rPr>
            <a:t>Tools Menu</a:t>
          </a:r>
          <a:r>
            <a:rPr lang="en-US" cap="none" sz="1000" b="0" i="0" u="none" baseline="0">
              <a:latin typeface="Arial"/>
              <a:ea typeface="Arial"/>
              <a:cs typeface="Arial"/>
            </a:rPr>
            <a:t>, select </a:t>
          </a:r>
          <a:r>
            <a:rPr lang="en-US" cap="none" sz="1000" b="1" i="0" u="none" baseline="0">
              <a:latin typeface="Arial"/>
              <a:ea typeface="Arial"/>
              <a:cs typeface="Arial"/>
            </a:rPr>
            <a:t>Solver</a:t>
          </a:r>
          <a:r>
            <a:rPr lang="en-US" cap="none" sz="1000" b="0" i="0" u="none" baseline="0">
              <a:latin typeface="Arial"/>
              <a:ea typeface="Arial"/>
              <a:cs typeface="Arial"/>
            </a:rPr>
            <a:t> ..., then </a:t>
          </a:r>
          <a:r>
            <a:rPr lang="en-US" cap="none" sz="1000" b="1" i="0" u="none" baseline="0">
              <a:latin typeface="Arial"/>
              <a:ea typeface="Arial"/>
              <a:cs typeface="Arial"/>
            </a:rPr>
            <a:t>Min</a:t>
          </a:r>
          <a:r>
            <a:rPr lang="en-US" cap="none" sz="1000" b="0" i="0" u="none" baseline="0">
              <a:latin typeface="Arial"/>
              <a:ea typeface="Arial"/>
              <a:cs typeface="Arial"/>
            </a:rPr>
            <a:t> and then </a:t>
          </a:r>
          <a:r>
            <a:rPr lang="en-US" cap="none" sz="1000" b="1" i="0" u="none" baseline="0">
              <a:latin typeface="Arial"/>
              <a:ea typeface="Arial"/>
              <a:cs typeface="Arial"/>
            </a:rPr>
            <a:t>By Changing</a:t>
          </a:r>
          <a:r>
            <a:rPr lang="en-US" cap="none" sz="1000" b="0" i="0" u="none" baseline="0">
              <a:latin typeface="Arial"/>
              <a:ea typeface="Arial"/>
              <a:cs typeface="Arial"/>
            </a:rPr>
            <a:t> any combination of </a:t>
          </a:r>
          <a:r>
            <a:rPr lang="en-US" cap="none" sz="1000" b="1" i="0" u="none" baseline="0">
              <a:solidFill>
                <a:srgbClr val="FF0000"/>
              </a:solidFill>
              <a:latin typeface="Arial"/>
              <a:ea typeface="Arial"/>
              <a:cs typeface="Arial"/>
            </a:rPr>
            <a:t>Cells E10:E24 </a:t>
          </a:r>
          <a:r>
            <a:rPr lang="en-US" cap="none" sz="1000" b="0" i="0" u="none" baseline="0">
              <a:solidFill>
                <a:srgbClr val="000000"/>
              </a:solidFill>
              <a:latin typeface="Arial"/>
              <a:ea typeface="Arial"/>
              <a:cs typeface="Arial"/>
            </a:rPr>
            <a:t>(see </a:t>
          </a:r>
          <a:r>
            <a:rPr lang="en-US" cap="none" sz="1000" b="1" i="0" u="none" baseline="0">
              <a:solidFill>
                <a:srgbClr val="000080"/>
              </a:solidFill>
              <a:latin typeface="Arial"/>
              <a:ea typeface="Arial"/>
              <a:cs typeface="Arial"/>
            </a:rPr>
            <a:t>Useful Hints</a:t>
          </a:r>
          <a:r>
            <a:rPr lang="en-US" cap="none" sz="1000" b="0" i="0" u="none" baseline="0">
              <a:solidFill>
                <a:srgbClr val="000000"/>
              </a:solidFill>
              <a:latin typeface="Arial"/>
              <a:ea typeface="Arial"/>
              <a:cs typeface="Arial"/>
            </a:rPr>
            <a:t> below)</a:t>
          </a:r>
          <a:r>
            <a:rPr lang="en-US" cap="none" sz="1000" b="0" i="0" u="none" baseline="0">
              <a:latin typeface="Arial"/>
              <a:ea typeface="Arial"/>
              <a:cs typeface="Arial"/>
            </a:rPr>
            <a:t>. Clicking on the </a:t>
          </a:r>
          <a:r>
            <a:rPr lang="en-US" cap="none" sz="1000" b="1" i="0" u="none" baseline="0">
              <a:latin typeface="Arial"/>
              <a:ea typeface="Arial"/>
              <a:cs typeface="Arial"/>
            </a:rPr>
            <a:t>Solve</a:t>
          </a:r>
          <a:r>
            <a:rPr lang="en-US" cap="none" sz="1000" b="0" i="0" u="none" baseline="0">
              <a:latin typeface="Arial"/>
              <a:ea typeface="Arial"/>
              <a:cs typeface="Arial"/>
            </a:rPr>
            <a:t> button will execute the desired calculations.
</a:t>
          </a:r>
          <a:r>
            <a:rPr lang="en-US" cap="none" sz="1000" b="1" i="0" u="none" baseline="0">
              <a:solidFill>
                <a:srgbClr val="FF0000"/>
              </a:solidFill>
              <a:latin typeface="Arial"/>
              <a:ea typeface="Arial"/>
              <a:cs typeface="Arial"/>
            </a:rPr>
            <a:t>Important Notice : Solver ... must be run every time any element of input data gets to be modified</a:t>
          </a:r>
          <a:r>
            <a:rPr lang="en-US" cap="none" sz="1000" b="0" i="0" u="none" baseline="0">
              <a:latin typeface="Arial"/>
              <a:ea typeface="Arial"/>
              <a:cs typeface="Arial"/>
            </a:rPr>
            <a:t>. Otherwise, the current outputs are not valid.
Calculation results are summarized in the </a:t>
          </a:r>
          <a:r>
            <a:rPr lang="en-US" cap="none" sz="1000" b="1" i="0" u="none" baseline="0">
              <a:latin typeface="Arial"/>
              <a:ea typeface="Arial"/>
              <a:cs typeface="Arial"/>
            </a:rPr>
            <a:t>Reports</a:t>
          </a:r>
          <a:r>
            <a:rPr lang="en-US" cap="none" sz="1000" b="0" i="0" u="none" baseline="0">
              <a:latin typeface="Arial"/>
              <a:ea typeface="Arial"/>
              <a:cs typeface="Arial"/>
            </a:rPr>
            <a:t> worksheet.
New </a:t>
          </a:r>
          <a:r>
            <a:rPr lang="en-US" cap="none" sz="1000" b="1" i="0" u="none" baseline="0">
              <a:latin typeface="Arial"/>
              <a:ea typeface="Arial"/>
              <a:cs typeface="Arial"/>
            </a:rPr>
            <a:t>Moly-Cop Tools</a:t>
          </a:r>
          <a:r>
            <a:rPr lang="en-US" cap="none" sz="1000" b="0" i="0" u="none" baseline="0">
              <a:latin typeface="Arial"/>
              <a:ea typeface="Arial"/>
              <a:cs typeface="Arial"/>
            </a:rPr>
            <a:t> users are invited to explore the brief comments inserted in each relevant cell, rendering the whole utilization of the worksheets self-explanatory. Eventually, the user may wish to remove the view of the comments by selecting </a:t>
          </a:r>
          <a:r>
            <a:rPr lang="en-US" cap="none" sz="1000" b="1" i="0" u="none" baseline="0">
              <a:latin typeface="Arial"/>
              <a:ea typeface="Arial"/>
              <a:cs typeface="Arial"/>
            </a:rPr>
            <a:t>Tools / Options / View / Comments / None</a:t>
          </a:r>
          <a:r>
            <a:rPr lang="en-US" cap="none" sz="1000" b="0" i="0" u="none" baseline="0">
              <a:latin typeface="Arial"/>
              <a:ea typeface="Arial"/>
              <a:cs typeface="Arial"/>
            </a:rPr>
            <a:t>.
</a:t>
          </a:r>
        </a:p>
      </xdr:txBody>
    </xdr:sp>
    <xdr:clientData/>
  </xdr:twoCellAnchor>
  <xdr:twoCellAnchor>
    <xdr:from>
      <xdr:col>1</xdr:col>
      <xdr:colOff>0</xdr:colOff>
      <xdr:row>113</xdr:row>
      <xdr:rowOff>0</xdr:rowOff>
    </xdr:from>
    <xdr:to>
      <xdr:col>12</xdr:col>
      <xdr:colOff>0</xdr:colOff>
      <xdr:row>163</xdr:row>
      <xdr:rowOff>142875</xdr:rowOff>
    </xdr:to>
    <xdr:sp>
      <xdr:nvSpPr>
        <xdr:cNvPr id="3" name="TextBox 5"/>
        <xdr:cNvSpPr txBox="1">
          <a:spLocks noChangeArrowheads="1"/>
        </xdr:cNvSpPr>
      </xdr:nvSpPr>
      <xdr:spPr>
        <a:xfrm>
          <a:off x="114300" y="18297525"/>
          <a:ext cx="6705600" cy="8239125"/>
        </a:xfrm>
        <a:prstGeom prst="rect">
          <a:avLst/>
        </a:prstGeom>
        <a:solidFill>
          <a:srgbClr val="FFFFFF"/>
        </a:solidFill>
        <a:ln w="38100" cmpd="dbl">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80"/>
              </a:solidFill>
              <a:latin typeface="Arial"/>
              <a:ea typeface="Arial"/>
              <a:cs typeface="Arial"/>
            </a:rPr>
            <a:t>Useful Hints :</a:t>
          </a:r>
          <a:r>
            <a:rPr lang="en-US" cap="none" sz="1000" b="0" i="0" u="none" baseline="0">
              <a:latin typeface="Arial"/>
              <a:ea typeface="Arial"/>
              <a:cs typeface="Arial"/>
            </a:rPr>
            <a:t>
The proper utilization of the parameter estimation spreadsheets - like </a:t>
          </a:r>
          <a:r>
            <a:rPr lang="en-US" cap="none" sz="1000" b="1" i="0" u="none" baseline="0">
              <a:latin typeface="Arial"/>
              <a:ea typeface="Arial"/>
              <a:cs typeface="Arial"/>
            </a:rPr>
            <a:t>BallParam_Batch</a:t>
          </a:r>
          <a:r>
            <a:rPr lang="en-US" cap="none" sz="1000" b="0" i="0" u="none" baseline="0">
              <a:latin typeface="Arial"/>
              <a:ea typeface="Arial"/>
              <a:cs typeface="Arial"/>
            </a:rPr>
            <a:t> - is by far the most complex task to be undertaken with </a:t>
          </a:r>
          <a:r>
            <a:rPr lang="en-US" cap="none" sz="1000" b="1" i="0" u="none" baseline="0">
              <a:latin typeface="Arial"/>
              <a:ea typeface="Arial"/>
              <a:cs typeface="Arial"/>
            </a:rPr>
            <a:t>Moly-Cop Tools</a:t>
          </a:r>
          <a:r>
            <a:rPr lang="en-US" cap="none" sz="1000" b="0" i="0" u="none" baseline="0">
              <a:latin typeface="Arial"/>
              <a:ea typeface="Arial"/>
              <a:cs typeface="Arial"/>
            </a:rPr>
            <a:t>. There is no set of firm recommendations to obey, but the following </a:t>
          </a:r>
          <a:r>
            <a:rPr lang="en-US" cap="none" sz="1000" b="1" i="0" u="none" baseline="0">
              <a:latin typeface="Arial"/>
              <a:ea typeface="Arial"/>
              <a:cs typeface="Arial"/>
            </a:rPr>
            <a:t>hints</a:t>
          </a:r>
          <a:r>
            <a:rPr lang="en-US" cap="none" sz="1000" b="0" i="0" u="none" baseline="0">
              <a:latin typeface="Arial"/>
              <a:ea typeface="Arial"/>
              <a:cs typeface="Arial"/>
            </a:rPr>
            <a:t> may help guiding the user in the search of the most representative set of grinding parameters :
1. It is not required to run the </a:t>
          </a:r>
          <a:r>
            <a:rPr lang="en-US" cap="none" sz="1000" b="1" i="0" u="none" baseline="0">
              <a:latin typeface="Arial"/>
              <a:ea typeface="Arial"/>
              <a:cs typeface="Arial"/>
            </a:rPr>
            <a:t>Solver</a:t>
          </a:r>
          <a:r>
            <a:rPr lang="en-US" cap="none" sz="1000" b="0" i="0" u="none" baseline="0">
              <a:latin typeface="Arial"/>
              <a:ea typeface="Arial"/>
              <a:cs typeface="Arial"/>
            </a:rPr>
            <a:t> search for </a:t>
          </a:r>
          <a:r>
            <a:rPr lang="en-US" cap="none" sz="1000" b="0" i="0" u="sng" baseline="0">
              <a:latin typeface="Arial"/>
              <a:ea typeface="Arial"/>
              <a:cs typeface="Arial"/>
            </a:rPr>
            <a:t>all</a:t>
          </a:r>
          <a:r>
            <a:rPr lang="en-US" cap="none" sz="1000" b="0" i="0" u="none" baseline="0">
              <a:latin typeface="Arial"/>
              <a:ea typeface="Arial"/>
              <a:cs typeface="Arial"/>
            </a:rPr>
            <a:t> parameters at the same time. In fact, this is strongly </a:t>
          </a:r>
          <a:r>
            <a:rPr lang="en-US" cap="none" sz="1000" b="0" i="0" u="sng" baseline="0">
              <a:latin typeface="Arial"/>
              <a:ea typeface="Arial"/>
              <a:cs typeface="Arial"/>
            </a:rPr>
            <a:t>not</a:t>
          </a:r>
          <a:r>
            <a:rPr lang="en-US" cap="none" sz="1000" b="0" i="0" u="none" baseline="0">
              <a:latin typeface="Arial"/>
              <a:ea typeface="Arial"/>
              <a:cs typeface="Arial"/>
            </a:rPr>
            <a:t> recommended, as the search algorithm will most likely fail to find the minimizing optimum when dealing with too many parameters at once. To exclude any given parameter off the search, remove the corresponding cell reference (in the </a:t>
          </a:r>
          <a:r>
            <a:rPr lang="en-US" cap="none" sz="1000" b="1" i="0" u="none" baseline="0">
              <a:solidFill>
                <a:srgbClr val="FF0000"/>
              </a:solidFill>
              <a:latin typeface="Arial"/>
              <a:ea typeface="Arial"/>
              <a:cs typeface="Arial"/>
            </a:rPr>
            <a:t>E10:E24</a:t>
          </a:r>
          <a:r>
            <a:rPr lang="en-US" cap="none" sz="1000" b="0" i="0" u="none" baseline="0">
              <a:latin typeface="Arial"/>
              <a:ea typeface="Arial"/>
              <a:cs typeface="Arial"/>
            </a:rPr>
            <a:t> range in </a:t>
          </a:r>
          <a:r>
            <a:rPr lang="en-US" cap="none" sz="1000" b="1" i="0" u="none" baseline="0">
              <a:latin typeface="Arial"/>
              <a:ea typeface="Arial"/>
              <a:cs typeface="Arial"/>
            </a:rPr>
            <a:t>Control_Panel</a:t>
          </a:r>
          <a:r>
            <a:rPr lang="en-US" cap="none" sz="1000" b="0" i="0" u="none" baseline="0">
              <a:latin typeface="Arial"/>
              <a:ea typeface="Arial"/>
              <a:cs typeface="Arial"/>
            </a:rPr>
            <a:t>) off the </a:t>
          </a:r>
          <a:r>
            <a:rPr lang="en-US" cap="none" sz="1000" b="1" i="0" u="none" baseline="0">
              <a:latin typeface="Arial"/>
              <a:ea typeface="Arial"/>
              <a:cs typeface="Arial"/>
            </a:rPr>
            <a:t>By Changing</a:t>
          </a:r>
          <a:r>
            <a:rPr lang="en-US" cap="none" sz="1000" b="0" i="0" u="none" baseline="0">
              <a:latin typeface="Arial"/>
              <a:ea typeface="Arial"/>
              <a:cs typeface="Arial"/>
            </a:rPr>
            <a:t> list of cells in </a:t>
          </a:r>
          <a:r>
            <a:rPr lang="en-US" cap="none" sz="1000" b="1" i="0" u="none" baseline="0">
              <a:latin typeface="Arial"/>
              <a:ea typeface="Arial"/>
              <a:cs typeface="Arial"/>
            </a:rPr>
            <a:t>Solver</a:t>
          </a:r>
          <a:r>
            <a:rPr lang="en-US" cap="none" sz="1000" b="0" i="0" u="none" baseline="0">
              <a:latin typeface="Arial"/>
              <a:ea typeface="Arial"/>
              <a:cs typeface="Arial"/>
            </a:rPr>
            <a:t> and that parameter value will then remain constant and equal to its original guess during the whole search.
2. When multiple experimental data sets are available (</a:t>
          </a:r>
          <a:r>
            <a:rPr lang="en-US" cap="none" sz="1000" b="0" i="0" u="none" baseline="0">
              <a:latin typeface="Arial"/>
              <a:ea typeface="Arial"/>
              <a:cs typeface="Arial"/>
            </a:rPr>
            <a:t>the most desirable condition</a:t>
          </a:r>
          <a:r>
            <a:rPr lang="en-US" cap="none" sz="1000" b="0" i="0" u="none" baseline="0">
              <a:latin typeface="Arial"/>
              <a:ea typeface="Arial"/>
              <a:cs typeface="Arial"/>
            </a:rPr>
            <a:t>) for various </a:t>
          </a:r>
          <a:r>
            <a:rPr lang="en-US" cap="none" sz="1000" b="1" i="0" u="none" baseline="0">
              <a:latin typeface="Arial"/>
              <a:ea typeface="Arial"/>
              <a:cs typeface="Arial"/>
            </a:rPr>
            <a:t>ore types</a:t>
          </a:r>
          <a:r>
            <a:rPr lang="en-US" cap="none" sz="1000" b="0" i="0" u="none" baseline="0">
              <a:latin typeface="Arial"/>
              <a:ea typeface="Arial"/>
              <a:cs typeface="Arial"/>
            </a:rPr>
            <a:t> (hard, soft, etc.) or </a:t>
          </a:r>
          <a:r>
            <a:rPr lang="en-US" cap="none" sz="1000" b="1" i="0" u="none" baseline="0">
              <a:latin typeface="Arial"/>
              <a:ea typeface="Arial"/>
              <a:cs typeface="Arial"/>
            </a:rPr>
            <a:t>grinding conditions</a:t>
          </a:r>
          <a:r>
            <a:rPr lang="en-US" cap="none" sz="1000" b="0" i="0" u="none" baseline="0">
              <a:latin typeface="Arial"/>
              <a:ea typeface="Arial"/>
              <a:cs typeface="Arial"/>
            </a:rPr>
            <a:t> (mill filling, ball size, % solids, etc.), always attempt to obtain a </a:t>
          </a:r>
          <a:r>
            <a:rPr lang="en-US" cap="none" sz="1000" b="0" i="0" u="sng" baseline="0">
              <a:latin typeface="Arial"/>
              <a:ea typeface="Arial"/>
              <a:cs typeface="Arial"/>
            </a:rPr>
            <a:t>reasonable</a:t>
          </a:r>
          <a:r>
            <a:rPr lang="en-US" cap="none" sz="1000" b="0" i="0" u="none" baseline="0">
              <a:latin typeface="Arial"/>
              <a:ea typeface="Arial"/>
              <a:cs typeface="Arial"/>
            </a:rPr>
            <a:t> model fit of these data with the same average parameter values for all sets. If that is not acceptable, proceed to allow differences in the most critical parameters in the following sequence :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d</a:t>
          </a:r>
          <a:r>
            <a:rPr lang="en-US" cap="none" sz="1000" b="0" i="0" u="none" baseline="-25000">
              <a:latin typeface="Arial"/>
              <a:ea typeface="Arial"/>
              <a:cs typeface="Arial"/>
            </a:rPr>
            <a:t>crit</a:t>
          </a:r>
          <a:r>
            <a:rPr lang="en-US" cap="none" sz="1000" b="0" i="0" u="none" baseline="0">
              <a:latin typeface="Arial"/>
              <a:ea typeface="Arial"/>
              <a:cs typeface="Arial"/>
            </a:rPr>
            <a:t>,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a:t>
          </a:r>
          <a:r>
            <a:rPr lang="en-US" cap="none" sz="1000" b="0" i="0" u="none" baseline="0">
              <a:latin typeface="Symbol"/>
              <a:ea typeface="Symbol"/>
              <a:cs typeface="Symbol"/>
            </a:rPr>
            <a:t>a</a:t>
          </a:r>
          <a:r>
            <a:rPr lang="en-US" cap="none" sz="1000" b="0" i="0" u="none" baseline="-25000">
              <a:latin typeface="Arial"/>
              <a:ea typeface="Arial"/>
              <a:cs typeface="Arial"/>
            </a:rPr>
            <a:t>1</a:t>
          </a:r>
          <a:r>
            <a:rPr lang="en-US" cap="none" sz="1000" b="0" i="0" u="none" baseline="0">
              <a:latin typeface="Arial"/>
              <a:ea typeface="Arial"/>
              <a:cs typeface="Arial"/>
            </a:rPr>
            <a:t>and </a:t>
          </a:r>
          <a:r>
            <a:rPr lang="en-US" cap="none" sz="1000" b="0" i="0" u="none" baseline="0">
              <a:latin typeface="Symbol"/>
              <a:ea typeface="Symbol"/>
              <a:cs typeface="Symbol"/>
            </a:rPr>
            <a:t>b</a:t>
          </a:r>
          <a:r>
            <a:rPr lang="en-US" cap="none" sz="1000" b="0" i="0" u="none" baseline="-25000">
              <a:latin typeface="Arial"/>
              <a:ea typeface="Arial"/>
              <a:cs typeface="Arial"/>
            </a:rPr>
            <a:t>1</a:t>
          </a:r>
          <a:r>
            <a:rPr lang="en-US" cap="none" sz="1000" b="0" i="0" u="none" baseline="0">
              <a:latin typeface="Arial"/>
              <a:ea typeface="Arial"/>
              <a:cs typeface="Arial"/>
            </a:rPr>
            <a:t>. Keep in mind that a larger number of adjustable parameters in the search (that is, included in the </a:t>
          </a:r>
          <a:r>
            <a:rPr lang="en-US" cap="none" sz="1000" b="1" i="0" u="none" baseline="0">
              <a:latin typeface="Arial"/>
              <a:ea typeface="Arial"/>
              <a:cs typeface="Arial"/>
            </a:rPr>
            <a:t>By Changing</a:t>
          </a:r>
          <a:r>
            <a:rPr lang="en-US" cap="none" sz="1000" b="0" i="0" u="none" baseline="0">
              <a:latin typeface="Arial"/>
              <a:ea typeface="Arial"/>
              <a:cs typeface="Arial"/>
            </a:rPr>
            <a:t> list) will necessarily yield lower </a:t>
          </a:r>
          <a:r>
            <a:rPr lang="en-US" cap="none" sz="1000" b="1" i="0" u="none" baseline="0">
              <a:latin typeface="Arial"/>
              <a:ea typeface="Arial"/>
              <a:cs typeface="Arial"/>
            </a:rPr>
            <a:t>Objective Function</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Cell E27</a:t>
          </a:r>
          <a:r>
            <a:rPr lang="en-US" cap="none" sz="1000" b="0" i="0" u="none" baseline="0">
              <a:latin typeface="Arial"/>
              <a:ea typeface="Arial"/>
              <a:cs typeface="Arial"/>
            </a:rPr>
            <a:t>) values, but the values of the parameters that achieve such minimum will be less reliable in statistical terms and therefore, from one data set to another, these parameters will exhibit significant variability and covariance amongst them, rendering them </a:t>
          </a:r>
          <a:r>
            <a:rPr lang="en-US" cap="none" sz="1000" b="0" i="0" u="sng" baseline="0">
              <a:latin typeface="Arial"/>
              <a:ea typeface="Arial"/>
              <a:cs typeface="Arial"/>
            </a:rPr>
            <a:t>meaningless</a:t>
          </a:r>
          <a:r>
            <a:rPr lang="en-US" cap="none" sz="1000" b="0" i="0" u="none" baseline="0">
              <a:latin typeface="Arial"/>
              <a:ea typeface="Arial"/>
              <a:cs typeface="Arial"/>
            </a:rPr>
            <a:t>.
3. An advisable starting run of the algorithm for each independent available data set should considered a search for parameters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a:t>
          </a:r>
          <a:r>
            <a:rPr lang="en-US" cap="none" sz="1000" b="0" i="0" u="none" baseline="0">
              <a:latin typeface="Symbol"/>
              <a:ea typeface="Symbol"/>
              <a:cs typeface="Symbol"/>
            </a:rPr>
            <a:t>a</a:t>
          </a:r>
          <a:r>
            <a:rPr lang="en-US" cap="none" sz="1000" b="0" i="0" u="none" baseline="-25000">
              <a:latin typeface="Arial"/>
              <a:ea typeface="Arial"/>
              <a:cs typeface="Arial"/>
            </a:rPr>
            <a:t>1</a:t>
          </a:r>
          <a:r>
            <a:rPr lang="en-US" cap="none" sz="1000" b="0" i="0" u="none" baseline="0">
              <a:latin typeface="Arial"/>
              <a:ea typeface="Arial"/>
              <a:cs typeface="Arial"/>
            </a:rPr>
            <a:t>, d</a:t>
          </a:r>
          <a:r>
            <a:rPr lang="en-US" cap="none" sz="1000" b="0" i="0" u="none" baseline="-25000">
              <a:latin typeface="Arial"/>
              <a:ea typeface="Arial"/>
              <a:cs typeface="Arial"/>
            </a:rPr>
            <a:t>crit</a:t>
          </a:r>
          <a:r>
            <a:rPr lang="en-US" cap="none" sz="1000" b="0" i="0" u="none" baseline="0">
              <a:latin typeface="Arial"/>
              <a:ea typeface="Arial"/>
              <a:cs typeface="Arial"/>
            </a:rPr>
            <a:t> and </a:t>
          </a:r>
          <a:r>
            <a:rPr lang="en-US" cap="none" sz="1000" b="0" i="0" u="none" baseline="0">
              <a:latin typeface="Symbol"/>
              <a:ea typeface="Symbol"/>
              <a:cs typeface="Symbol"/>
            </a:rPr>
            <a:t>b</a:t>
          </a:r>
          <a:r>
            <a:rPr lang="en-US" cap="none" sz="1000" b="0" i="0" u="none" baseline="-25000">
              <a:latin typeface="Arial"/>
              <a:ea typeface="Arial"/>
              <a:cs typeface="Arial"/>
            </a:rPr>
            <a:t>0</a:t>
          </a:r>
          <a:r>
            <a:rPr lang="en-US" cap="none" sz="1000" b="0" i="0" u="none" baseline="0">
              <a:latin typeface="Arial"/>
              <a:ea typeface="Arial"/>
              <a:cs typeface="Arial"/>
            </a:rPr>
            <a:t>; leaving the others fix at nominal values : </a:t>
          </a:r>
          <a:r>
            <a:rPr lang="en-US" cap="none" sz="1000" b="0" i="0" u="none" baseline="0">
              <a:latin typeface="Symbol"/>
              <a:ea typeface="Symbol"/>
              <a:cs typeface="Symbol"/>
            </a:rPr>
            <a:t>a</a:t>
          </a:r>
          <a:r>
            <a:rPr lang="en-US" cap="none" sz="1000" b="0" i="0" u="none" baseline="-25000">
              <a:latin typeface="Arial"/>
              <a:ea typeface="Arial"/>
              <a:cs typeface="Arial"/>
            </a:rPr>
            <a:t>2</a:t>
          </a:r>
          <a:r>
            <a:rPr lang="en-US" cap="none" sz="1000" b="0" i="0" u="none" baseline="0">
              <a:latin typeface="Arial"/>
              <a:ea typeface="Arial"/>
              <a:cs typeface="Arial"/>
            </a:rPr>
            <a:t> = 3.0, </a:t>
          </a:r>
          <a:r>
            <a:rPr lang="en-US" cap="none" sz="1000" b="0" i="0" u="none" baseline="0">
              <a:latin typeface="Symbol"/>
              <a:ea typeface="Symbol"/>
              <a:cs typeface="Symbol"/>
            </a:rPr>
            <a:t>b</a:t>
          </a:r>
          <a:r>
            <a:rPr lang="en-US" cap="none" sz="1000" b="0" i="0" u="none" baseline="-25000">
              <a:latin typeface="Arial"/>
              <a:ea typeface="Arial"/>
              <a:cs typeface="Arial"/>
            </a:rPr>
            <a:t>1</a:t>
          </a:r>
          <a:r>
            <a:rPr lang="en-US" cap="none" sz="1000" b="0" i="0" u="none" baseline="0">
              <a:latin typeface="Arial"/>
              <a:ea typeface="Arial"/>
              <a:cs typeface="Arial"/>
            </a:rPr>
            <a:t> = 0.5 and </a:t>
          </a:r>
          <a:r>
            <a:rPr lang="en-US" cap="none" sz="1000" b="0" i="0" u="none" baseline="0">
              <a:latin typeface="Symbol"/>
              <a:ea typeface="Symbol"/>
              <a:cs typeface="Symbol"/>
            </a:rPr>
            <a:t>b</a:t>
          </a:r>
          <a:r>
            <a:rPr lang="en-US" cap="none" sz="1000" b="0" i="0" u="none" baseline="-25000">
              <a:latin typeface="Arial"/>
              <a:ea typeface="Arial"/>
              <a:cs typeface="Arial"/>
            </a:rPr>
            <a:t>2</a:t>
          </a:r>
          <a:r>
            <a:rPr lang="en-US" cap="none" sz="1000" b="0" i="0" u="none" baseline="0">
              <a:latin typeface="Arial"/>
              <a:ea typeface="Arial"/>
              <a:cs typeface="Arial"/>
            </a:rPr>
            <a:t> = 4.0. Use the
                                        table below the </a:t>
          </a:r>
          <a:r>
            <a:rPr lang="en-US" cap="none" sz="1000" b="1" i="0" u="none" baseline="0">
              <a:latin typeface="Arial"/>
              <a:ea typeface="Arial"/>
              <a:cs typeface="Arial"/>
            </a:rPr>
            <a:t>Control_Panel</a:t>
          </a:r>
          <a:r>
            <a:rPr lang="en-US" cap="none" sz="1000" b="0" i="0" u="none" baseline="0">
              <a:latin typeface="Arial"/>
              <a:ea typeface="Arial"/>
              <a:cs typeface="Arial"/>
            </a:rPr>
            <a:t> area to summarize the results of your search with the various available data sets. </a:t>
          </a:r>
          <a:r>
            <a:rPr lang="en-US" cap="none" sz="1000" b="1" i="0" u="none" baseline="0">
              <a:solidFill>
                <a:srgbClr val="FF0000"/>
              </a:solidFill>
              <a:latin typeface="Arial"/>
              <a:ea typeface="Arial"/>
              <a:cs typeface="Arial"/>
            </a:rPr>
            <a:t>Be careful to follow the instructions provided at the bottom of such table.</a:t>
          </a:r>
          <a:r>
            <a:rPr lang="en-US" cap="none" sz="1000" b="0" i="0" u="none" baseline="0">
              <a:latin typeface="Arial"/>
              <a:ea typeface="Arial"/>
              <a:cs typeface="Arial"/>
            </a:rPr>
            <a:t> If the model fit appears to be reasonable, then you should attempt to reduce the number of adjustable parameters. Look for the one parameter that exhibit the lowest </a:t>
          </a:r>
          <a:r>
            <a:rPr lang="en-US" cap="none" sz="1000" b="1" i="0" u="none" baseline="0">
              <a:latin typeface="Arial"/>
              <a:ea typeface="Arial"/>
              <a:cs typeface="Arial"/>
            </a:rPr>
            <a:t>Coefficient of Variation</a:t>
          </a:r>
          <a:r>
            <a:rPr lang="en-US" cap="none" sz="1000" b="0" i="0" u="none" baseline="0">
              <a:latin typeface="Arial"/>
              <a:ea typeface="Arial"/>
              <a:cs typeface="Arial"/>
            </a:rPr>
            <a:t> (the ratio of its standard deviation to its average value, for all data sets) and set it fix at its average value and </a:t>
          </a:r>
          <a:r>
            <a:rPr lang="en-US" cap="none" sz="1000" b="0" i="0" u="sng" baseline="0">
              <a:latin typeface="Arial"/>
              <a:ea typeface="Arial"/>
              <a:cs typeface="Arial"/>
            </a:rPr>
            <a:t>equal for all data sets</a:t>
          </a:r>
          <a:r>
            <a:rPr lang="en-US" cap="none" sz="1000" b="0" i="0" u="none" baseline="0">
              <a:latin typeface="Arial"/>
              <a:ea typeface="Arial"/>
              <a:cs typeface="Arial"/>
            </a:rPr>
            <a:t>, for the next runs of the search. Continue removing the remaining adjustable parameters off the </a:t>
          </a:r>
          <a:r>
            <a:rPr lang="en-US" cap="none" sz="1000" b="1" i="0" u="none" baseline="0">
              <a:latin typeface="Arial"/>
              <a:ea typeface="Arial"/>
              <a:cs typeface="Arial"/>
            </a:rPr>
            <a:t>By Changing</a:t>
          </a:r>
          <a:r>
            <a:rPr lang="en-US" cap="none" sz="1000" b="0" i="0" u="none" baseline="0">
              <a:latin typeface="Arial"/>
              <a:ea typeface="Arial"/>
              <a:cs typeface="Arial"/>
            </a:rPr>
            <a:t> list, </a:t>
          </a:r>
          <a:r>
            <a:rPr lang="en-US" cap="none" sz="1000" b="0" i="0" u="sng" baseline="0">
              <a:latin typeface="Arial"/>
              <a:ea typeface="Arial"/>
              <a:cs typeface="Arial"/>
            </a:rPr>
            <a:t>one at a time</a:t>
          </a:r>
          <a:r>
            <a:rPr lang="en-US" cap="none" sz="1000" b="0" i="0" u="none" baseline="0">
              <a:latin typeface="Arial"/>
              <a:ea typeface="Arial"/>
              <a:cs typeface="Arial"/>
            </a:rPr>
            <a:t>, until the model fit is no longer judged acceptable. The concept behind this parameter screening process is to lump the impact of whatever </a:t>
          </a:r>
          <a:r>
            <a:rPr lang="en-US" cap="none" sz="1000" b="1" i="0" u="none" baseline="0">
              <a:latin typeface="Arial"/>
              <a:ea typeface="Arial"/>
              <a:cs typeface="Arial"/>
            </a:rPr>
            <a:t>ore properties</a:t>
          </a:r>
          <a:r>
            <a:rPr lang="en-US" cap="none" sz="1000" b="0" i="0" u="none" baseline="0">
              <a:latin typeface="Arial"/>
              <a:ea typeface="Arial"/>
              <a:cs typeface="Arial"/>
            </a:rPr>
            <a:t> or </a:t>
          </a:r>
          <a:r>
            <a:rPr lang="en-US" cap="none" sz="1000" b="1" i="0" u="none" baseline="0">
              <a:latin typeface="Arial"/>
              <a:ea typeface="Arial"/>
              <a:cs typeface="Arial"/>
            </a:rPr>
            <a:t>process variable</a:t>
          </a:r>
          <a:r>
            <a:rPr lang="en-US" cap="none" sz="1000" b="0" i="0" u="none" baseline="0">
              <a:latin typeface="Arial"/>
              <a:ea typeface="Arial"/>
              <a:cs typeface="Arial"/>
            </a:rPr>
            <a:t> are being investigated into the least possible number of parameters in order to improve the statistical significance of the estimations and facilitate the derivation of valid conclusions regarding such effects. For instance, it is believed that the distribution of ball sizes in the mill only affects the parameters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and d</a:t>
          </a:r>
          <a:r>
            <a:rPr lang="en-US" cap="none" sz="1000" b="0" i="0" u="none" baseline="-25000">
              <a:latin typeface="Arial"/>
              <a:ea typeface="Arial"/>
              <a:cs typeface="Arial"/>
            </a:rPr>
            <a:t>crit</a:t>
          </a:r>
          <a:r>
            <a:rPr lang="en-US" cap="none" sz="1000" b="0" i="0" u="none" baseline="0">
              <a:latin typeface="Arial"/>
              <a:ea typeface="Arial"/>
              <a:cs typeface="Arial"/>
            </a:rPr>
            <a:t>. Similarly, hardness variations of the same ore source may be well described by changes in the </a:t>
          </a:r>
          <a:r>
            <a:rPr lang="en-US" cap="none" sz="1000" b="0" i="0" u="none" baseline="0">
              <a:latin typeface="Symbol"/>
              <a:ea typeface="Symbol"/>
              <a:cs typeface="Symbol"/>
            </a:rPr>
            <a:t>a</a:t>
          </a:r>
          <a:r>
            <a:rPr lang="en-US" cap="none" sz="1000" b="0" i="0" u="none" baseline="-25000">
              <a:latin typeface="Arial"/>
              <a:ea typeface="Arial"/>
              <a:cs typeface="Arial"/>
            </a:rPr>
            <a:t>0</a:t>
          </a:r>
          <a:r>
            <a:rPr lang="en-US" cap="none" sz="1000" b="0" i="0" u="none" baseline="0">
              <a:latin typeface="Arial"/>
              <a:ea typeface="Arial"/>
              <a:cs typeface="Arial"/>
            </a:rPr>
            <a:t> parameter only. </a:t>
          </a:r>
          <a:r>
            <a:rPr lang="en-US" cap="none" sz="1000" b="1" i="0" u="none" baseline="0">
              <a:latin typeface="Arial"/>
              <a:ea typeface="Arial"/>
              <a:cs typeface="Arial"/>
            </a:rPr>
            <a:t>Not all grinding systems require a finite value of d</a:t>
          </a:r>
          <a:r>
            <a:rPr lang="en-US" cap="none" sz="1000" b="1" i="0" u="none" baseline="-25000">
              <a:latin typeface="Arial"/>
              <a:ea typeface="Arial"/>
              <a:cs typeface="Arial"/>
            </a:rPr>
            <a:t>crit</a:t>
          </a:r>
          <a:r>
            <a:rPr lang="en-US" cap="none" sz="1000" b="0" i="0" u="none" baseline="0">
              <a:latin typeface="Arial"/>
              <a:ea typeface="Arial"/>
              <a:cs typeface="Arial"/>
            </a:rPr>
            <a:t>; whenever the estimated value of this parameter tends to be greater than the top mesh opening, set it fix at 100,000 and remove it from the </a:t>
          </a:r>
          <a:r>
            <a:rPr lang="en-US" cap="none" sz="1000" b="1" i="0" u="none" baseline="0">
              <a:latin typeface="Arial"/>
              <a:ea typeface="Arial"/>
              <a:cs typeface="Arial"/>
            </a:rPr>
            <a:t>By Changing</a:t>
          </a:r>
          <a:r>
            <a:rPr lang="en-US" cap="none" sz="1000" b="0" i="0" u="none" baseline="0">
              <a:latin typeface="Arial"/>
              <a:ea typeface="Arial"/>
              <a:cs typeface="Arial"/>
            </a:rPr>
            <a:t> list.
4. If the step above does not provide a satisfactory model fit, then you should add </a:t>
          </a:r>
          <a:r>
            <a:rPr lang="en-US" cap="none" sz="1000" b="0" i="0" u="none" baseline="0">
              <a:latin typeface="Symbol"/>
              <a:ea typeface="Symbol"/>
              <a:cs typeface="Symbol"/>
            </a:rPr>
            <a:t>b</a:t>
          </a:r>
          <a:r>
            <a:rPr lang="en-US" cap="none" sz="1000" b="0" i="0" u="none" baseline="-25000">
              <a:latin typeface="Arial"/>
              <a:ea typeface="Arial"/>
              <a:cs typeface="Arial"/>
            </a:rPr>
            <a:t>1</a:t>
          </a:r>
          <a:r>
            <a:rPr lang="en-US" cap="none" sz="1000" b="0" i="0" u="none" baseline="0">
              <a:latin typeface="Arial"/>
              <a:ea typeface="Arial"/>
              <a:cs typeface="Arial"/>
            </a:rPr>
            <a:t> to the list of adjustable parameters and eventually, include </a:t>
          </a:r>
          <a:r>
            <a:rPr lang="en-US" cap="none" sz="1000" b="0" i="0" u="none" baseline="0">
              <a:latin typeface="Symbol"/>
              <a:ea typeface="Symbol"/>
              <a:cs typeface="Symbol"/>
            </a:rPr>
            <a:t>b</a:t>
          </a:r>
          <a:r>
            <a:rPr lang="en-US" cap="none" sz="1000" b="0" i="0" u="none" baseline="-25000">
              <a:latin typeface="Arial"/>
              <a:ea typeface="Arial"/>
              <a:cs typeface="Arial"/>
            </a:rPr>
            <a:t>01</a:t>
          </a:r>
          <a:r>
            <a:rPr lang="en-US" cap="none" sz="1000" b="0" i="0" u="none" baseline="0">
              <a:latin typeface="Arial"/>
              <a:ea typeface="Arial"/>
              <a:cs typeface="Arial"/>
            </a:rPr>
            <a:t>, </a:t>
          </a:r>
          <a:r>
            <a:rPr lang="en-US" cap="none" sz="1000" b="0" i="0" u="none" baseline="0">
              <a:latin typeface="Symbol"/>
              <a:ea typeface="Symbol"/>
              <a:cs typeface="Symbol"/>
            </a:rPr>
            <a:t>a</a:t>
          </a:r>
          <a:r>
            <a:rPr lang="en-US" cap="none" sz="1000" b="0" i="0" u="none" baseline="-25000">
              <a:latin typeface="Arial"/>
              <a:ea typeface="Arial"/>
              <a:cs typeface="Arial"/>
            </a:rPr>
            <a:t>02</a:t>
          </a:r>
          <a:r>
            <a:rPr lang="en-US" cap="none" sz="1000" b="0" i="0" u="none" baseline="0">
              <a:latin typeface="Arial"/>
              <a:ea typeface="Arial"/>
              <a:cs typeface="Arial"/>
            </a:rPr>
            <a:t> and </a:t>
          </a:r>
          <a:r>
            <a:rPr lang="en-US" cap="none" sz="1000" b="0" i="0" u="none" baseline="0">
              <a:latin typeface="Symbol"/>
              <a:ea typeface="Symbol"/>
              <a:cs typeface="Symbol"/>
            </a:rPr>
            <a:t>a</a:t>
          </a:r>
          <a:r>
            <a:rPr lang="en-US" cap="none" sz="1000" b="0" i="0" u="none" baseline="-25000">
              <a:latin typeface="Arial"/>
              <a:ea typeface="Arial"/>
              <a:cs typeface="Arial"/>
            </a:rPr>
            <a:t>12</a:t>
          </a:r>
          <a:r>
            <a:rPr lang="en-US" cap="none" sz="1000" b="0" i="0" u="none" baseline="0">
              <a:latin typeface="Arial"/>
              <a:ea typeface="Arial"/>
              <a:cs typeface="Arial"/>
            </a:rPr>
            <a:t> (one at a time, in that order). If the model fit is still not satisfactory, there is a good chance the data contains significant experimental errors and should be discarded.
5. Never run a search for </a:t>
          </a:r>
          <a:r>
            <a:rPr lang="en-US" cap="none" sz="1000" b="0" i="0" u="none" baseline="0">
              <a:latin typeface="Symbol"/>
              <a:ea typeface="Symbol"/>
              <a:cs typeface="Symbol"/>
            </a:rPr>
            <a:t>a</a:t>
          </a:r>
          <a:r>
            <a:rPr lang="en-US" cap="none" sz="1000" b="0" i="0" u="none" baseline="-25000">
              <a:latin typeface="Arial"/>
              <a:ea typeface="Arial"/>
              <a:cs typeface="Arial"/>
            </a:rPr>
            <a:t>2</a:t>
          </a:r>
          <a:r>
            <a:rPr lang="en-US" cap="none" sz="1000" b="0" i="0" u="none" baseline="0">
              <a:latin typeface="Arial"/>
              <a:ea typeface="Arial"/>
              <a:cs typeface="Arial"/>
            </a:rPr>
            <a:t> or </a:t>
          </a:r>
          <a:r>
            <a:rPr lang="en-US" cap="none" sz="1000" b="0" i="0" u="none" baseline="0">
              <a:latin typeface="Symbol"/>
              <a:ea typeface="Symbol"/>
              <a:cs typeface="Symbol"/>
            </a:rPr>
            <a:t>b</a:t>
          </a:r>
          <a:r>
            <a:rPr lang="en-US" cap="none" sz="1000" b="0" i="0" u="none" baseline="-25000">
              <a:latin typeface="Arial"/>
              <a:ea typeface="Arial"/>
              <a:cs typeface="Arial"/>
            </a:rPr>
            <a:t>2</a:t>
          </a:r>
          <a:r>
            <a:rPr lang="en-US" cap="none" sz="1000" b="0" i="0" u="none" baseline="0">
              <a:latin typeface="Arial"/>
              <a:ea typeface="Arial"/>
              <a:cs typeface="Arial"/>
            </a:rPr>
            <a:t>, as these parameters have little effect on the objective function and may just confuse the search algorithm. When in doubt, simply try assigning them values between 2 and 4 and observe the response of the </a:t>
          </a:r>
          <a:r>
            <a:rPr lang="en-US" cap="none" sz="1000" b="1" i="0" u="none" baseline="0">
              <a:latin typeface="Arial"/>
              <a:ea typeface="Arial"/>
              <a:cs typeface="Arial"/>
            </a:rPr>
            <a:t>Objective Function</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Cell E27</a:t>
          </a:r>
          <a:r>
            <a:rPr lang="en-US" cap="none" sz="1000" b="0" i="0" u="none" baseline="0">
              <a:latin typeface="Arial"/>
              <a:ea typeface="Arial"/>
              <a:cs typeface="Arial"/>
            </a:rPr>
            <a:t>). In other words, these two parameters are better optimized by a very basic trial-and-error procedure, not via the </a:t>
          </a:r>
          <a:r>
            <a:rPr lang="en-US" cap="none" sz="1000" b="1" i="0" u="none" baseline="0">
              <a:latin typeface="Arial"/>
              <a:ea typeface="Arial"/>
              <a:cs typeface="Arial"/>
            </a:rPr>
            <a:t>Solver</a:t>
          </a:r>
          <a:r>
            <a:rPr lang="en-US" cap="none" sz="1000" b="0" i="0" u="none" baseline="0">
              <a:latin typeface="Arial"/>
              <a:ea typeface="Arial"/>
              <a:cs typeface="Arial"/>
            </a:rPr>
            <a:t> routine.
</a:t>
          </a:r>
        </a:p>
      </xdr:txBody>
    </xdr:sp>
    <xdr:clientData/>
  </xdr:twoCellAnchor>
  <xdr:twoCellAnchor>
    <xdr:from>
      <xdr:col>1</xdr:col>
      <xdr:colOff>114300</xdr:colOff>
      <xdr:row>137</xdr:row>
      <xdr:rowOff>47625</xdr:rowOff>
    </xdr:from>
    <xdr:to>
      <xdr:col>3</xdr:col>
      <xdr:colOff>190500</xdr:colOff>
      <xdr:row>138</xdr:row>
      <xdr:rowOff>47625</xdr:rowOff>
    </xdr:to>
    <xdr:sp>
      <xdr:nvSpPr>
        <xdr:cNvPr id="4" name="Rectangle 6"/>
        <xdr:cNvSpPr>
          <a:spLocks/>
        </xdr:cNvSpPr>
      </xdr:nvSpPr>
      <xdr:spPr>
        <a:xfrm>
          <a:off x="228600" y="22231350"/>
          <a:ext cx="1295400" cy="161925"/>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green background</a:t>
          </a:r>
        </a:p>
      </xdr:txBody>
    </xdr:sp>
    <xdr:clientData/>
  </xdr:twoCellAnchor>
  <xdr:twoCellAnchor editAs="oneCell">
    <xdr:from>
      <xdr:col>9</xdr:col>
      <xdr:colOff>485775</xdr:colOff>
      <xdr:row>0</xdr:row>
      <xdr:rowOff>38100</xdr:rowOff>
    </xdr:from>
    <xdr:to>
      <xdr:col>12</xdr:col>
      <xdr:colOff>0</xdr:colOff>
      <xdr:row>2</xdr:row>
      <xdr:rowOff>114300</xdr:rowOff>
    </xdr:to>
    <xdr:pic>
      <xdr:nvPicPr>
        <xdr:cNvPr id="5" name="Picture 7"/>
        <xdr:cNvPicPr preferRelativeResize="1">
          <a:picLocks noChangeAspect="1"/>
        </xdr:cNvPicPr>
      </xdr:nvPicPr>
      <xdr:blipFill>
        <a:blip r:embed="rId1"/>
        <a:stretch>
          <a:fillRect/>
        </a:stretch>
      </xdr:blipFill>
      <xdr:spPr>
        <a:xfrm>
          <a:off x="5476875" y="38100"/>
          <a:ext cx="1343025" cy="400050"/>
        </a:xfrm>
        <a:prstGeom prst="rect">
          <a:avLst/>
        </a:prstGeom>
        <a:noFill/>
        <a:ln w="9525" cmpd="sng">
          <a:noFill/>
        </a:ln>
      </xdr:spPr>
    </xdr:pic>
    <xdr:clientData/>
  </xdr:twoCellAnchor>
  <xdr:twoCellAnchor editAs="oneCell">
    <xdr:from>
      <xdr:col>9</xdr:col>
      <xdr:colOff>485775</xdr:colOff>
      <xdr:row>55</xdr:row>
      <xdr:rowOff>38100</xdr:rowOff>
    </xdr:from>
    <xdr:to>
      <xdr:col>12</xdr:col>
      <xdr:colOff>0</xdr:colOff>
      <xdr:row>57</xdr:row>
      <xdr:rowOff>114300</xdr:rowOff>
    </xdr:to>
    <xdr:pic>
      <xdr:nvPicPr>
        <xdr:cNvPr id="6" name="Picture 8"/>
        <xdr:cNvPicPr preferRelativeResize="1">
          <a:picLocks noChangeAspect="1"/>
        </xdr:cNvPicPr>
      </xdr:nvPicPr>
      <xdr:blipFill>
        <a:blip r:embed="rId1"/>
        <a:stretch>
          <a:fillRect/>
        </a:stretch>
      </xdr:blipFill>
      <xdr:spPr>
        <a:xfrm>
          <a:off x="5476875" y="8943975"/>
          <a:ext cx="1343025" cy="400050"/>
        </a:xfrm>
        <a:prstGeom prst="rect">
          <a:avLst/>
        </a:prstGeom>
        <a:noFill/>
        <a:ln w="9525" cmpd="sng">
          <a:noFill/>
        </a:ln>
      </xdr:spPr>
    </xdr:pic>
    <xdr:clientData/>
  </xdr:twoCellAnchor>
  <xdr:twoCellAnchor editAs="oneCell">
    <xdr:from>
      <xdr:col>9</xdr:col>
      <xdr:colOff>485775</xdr:colOff>
      <xdr:row>110</xdr:row>
      <xdr:rowOff>38100</xdr:rowOff>
    </xdr:from>
    <xdr:to>
      <xdr:col>12</xdr:col>
      <xdr:colOff>0</xdr:colOff>
      <xdr:row>112</xdr:row>
      <xdr:rowOff>114300</xdr:rowOff>
    </xdr:to>
    <xdr:pic>
      <xdr:nvPicPr>
        <xdr:cNvPr id="7" name="Picture 9"/>
        <xdr:cNvPicPr preferRelativeResize="1">
          <a:picLocks noChangeAspect="1"/>
        </xdr:cNvPicPr>
      </xdr:nvPicPr>
      <xdr:blipFill>
        <a:blip r:embed="rId1"/>
        <a:stretch>
          <a:fillRect/>
        </a:stretch>
      </xdr:blipFill>
      <xdr:spPr>
        <a:xfrm>
          <a:off x="5476875" y="17849850"/>
          <a:ext cx="1343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xdr:row>
      <xdr:rowOff>0</xdr:rowOff>
    </xdr:from>
    <xdr:to>
      <xdr:col>15</xdr:col>
      <xdr:colOff>552450</xdr:colOff>
      <xdr:row>25</xdr:row>
      <xdr:rowOff>76200</xdr:rowOff>
    </xdr:to>
    <xdr:graphicFrame>
      <xdr:nvGraphicFramePr>
        <xdr:cNvPr id="1" name="Chart 1"/>
        <xdr:cNvGraphicFramePr/>
      </xdr:nvGraphicFramePr>
      <xdr:xfrm>
        <a:off x="2838450" y="771525"/>
        <a:ext cx="5762625" cy="3476625"/>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76200</xdr:colOff>
      <xdr:row>1</xdr:row>
      <xdr:rowOff>57150</xdr:rowOff>
    </xdr:from>
    <xdr:to>
      <xdr:col>16</xdr:col>
      <xdr:colOff>47625</xdr:colOff>
      <xdr:row>2</xdr:row>
      <xdr:rowOff>76200</xdr:rowOff>
    </xdr:to>
    <xdr:pic>
      <xdr:nvPicPr>
        <xdr:cNvPr id="2" name="Picture 6"/>
        <xdr:cNvPicPr preferRelativeResize="1">
          <a:picLocks noChangeAspect="1"/>
        </xdr:cNvPicPr>
      </xdr:nvPicPr>
      <xdr:blipFill>
        <a:blip r:embed="rId2"/>
        <a:stretch>
          <a:fillRect/>
        </a:stretch>
      </xdr:blipFill>
      <xdr:spPr>
        <a:xfrm>
          <a:off x="7543800" y="152400"/>
          <a:ext cx="11334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266700</xdr:colOff>
      <xdr:row>1</xdr:row>
      <xdr:rowOff>85725</xdr:rowOff>
    </xdr:from>
    <xdr:to>
      <xdr:col>18</xdr:col>
      <xdr:colOff>47625</xdr:colOff>
      <xdr:row>2</xdr:row>
      <xdr:rowOff>142875</xdr:rowOff>
    </xdr:to>
    <xdr:pic>
      <xdr:nvPicPr>
        <xdr:cNvPr id="1" name="Picture 150"/>
        <xdr:cNvPicPr preferRelativeResize="1">
          <a:picLocks noChangeAspect="1"/>
        </xdr:cNvPicPr>
      </xdr:nvPicPr>
      <xdr:blipFill>
        <a:blip r:embed="rId1"/>
        <a:stretch>
          <a:fillRect/>
        </a:stretch>
      </xdr:blipFill>
      <xdr:spPr>
        <a:xfrm>
          <a:off x="8696325" y="180975"/>
          <a:ext cx="11430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419100</xdr:colOff>
      <xdr:row>1</xdr:row>
      <xdr:rowOff>142875</xdr:rowOff>
    </xdr:to>
    <xdr:pic>
      <xdr:nvPicPr>
        <xdr:cNvPr id="1" name="Picture 1"/>
        <xdr:cNvPicPr preferRelativeResize="1">
          <a:picLocks noChangeAspect="1"/>
        </xdr:cNvPicPr>
      </xdr:nvPicPr>
      <xdr:blipFill>
        <a:blip r:embed="rId1"/>
        <a:stretch>
          <a:fillRect/>
        </a:stretch>
      </xdr:blipFill>
      <xdr:spPr>
        <a:xfrm>
          <a:off x="180975" y="57150"/>
          <a:ext cx="11334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GSim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d_Mill%20Siz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Data_File"/>
      <sheetName val="Reports"/>
      <sheetName val="SiE"/>
      <sheetName val="Bij"/>
      <sheetName val="J&amp;T"/>
      <sheetName val="C"/>
      <sheetName val="Mill"/>
      <sheetName val="About ..."/>
      <sheetName val="Flowsheet"/>
    </sheetNames>
    <sheetDataSet>
      <sheetData sheetId="5">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B36">
            <v>0.4538647447672557</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B37">
            <v>0.1329938241984342</v>
          </cell>
          <cell r="C37">
            <v>0.36036494507900985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B38">
            <v>0.07981995434265082</v>
          </cell>
          <cell r="C38">
            <v>0.2162830765733938</v>
          </cell>
          <cell r="D38">
            <v>0.43986120841808773</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B39">
            <v>0.03762051648408338</v>
          </cell>
          <cell r="C39">
            <v>0.10193793161705544</v>
          </cell>
          <cell r="D39">
            <v>0.20731414817609561</v>
          </cell>
          <cell r="E39">
            <v>0.5589504598119697</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B40">
            <v>0.004143158401546165</v>
          </cell>
          <cell r="C40">
            <v>0.011226454001346087</v>
          </cell>
          <cell r="D40">
            <v>0.022831567321479618</v>
          </cell>
          <cell r="E40">
            <v>0.061557376401194686</v>
          </cell>
          <cell r="F40">
            <v>0.3364043518266602</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B41">
            <v>0.0025072721778627294</v>
          </cell>
          <cell r="C41">
            <v>0.006793796675291508</v>
          </cell>
          <cell r="D41">
            <v>0.013816742681327876</v>
          </cell>
          <cell r="E41">
            <v>0.03725203871890098</v>
          </cell>
          <cell r="F41">
            <v>0.20357833085313753</v>
          </cell>
          <cell r="G41">
            <v>0.4115080196769153</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B42">
            <v>0.03596094123312027</v>
          </cell>
          <cell r="C42">
            <v>0.03867845060280528</v>
          </cell>
          <cell r="D42">
            <v>0.041818270676379166</v>
          </cell>
          <cell r="E42">
            <v>0.050263889536645234</v>
          </cell>
          <cell r="F42">
            <v>0.10197437663347586</v>
          </cell>
          <cell r="G42">
            <v>0.16432152878598572</v>
          </cell>
          <cell r="H42">
            <v>0.3709134954076273</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B43">
            <v>0.03710357848227985</v>
          </cell>
          <cell r="C43">
            <v>0.03931027722699709</v>
          </cell>
          <cell r="D43">
            <v>0.041558155354021825</v>
          </cell>
          <cell r="E43">
            <v>0.04694219046293069</v>
          </cell>
          <cell r="F43">
            <v>0.07657868643128374</v>
          </cell>
          <cell r="G43">
            <v>0.11123409387219069</v>
          </cell>
          <cell r="H43">
            <v>0.224936546529025</v>
          </cell>
          <cell r="I43">
            <v>0.4164396513915689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B44">
            <v>0.031097345351920352</v>
          </cell>
          <cell r="C44">
            <v>0.03266193900273881</v>
          </cell>
          <cell r="D44">
            <v>0.03407281527929695</v>
          </cell>
          <cell r="E44">
            <v>0.036996659374044394</v>
          </cell>
          <cell r="F44">
            <v>0.05052080937672457</v>
          </cell>
          <cell r="G44">
            <v>0.06541008147023225</v>
          </cell>
          <cell r="H44">
            <v>0.11325952124819355</v>
          </cell>
          <cell r="I44">
            <v>0.19599360896813045</v>
          </cell>
          <cell r="J44">
            <v>0.40642514239137395</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B45">
            <v>0.02693795166548099</v>
          </cell>
          <cell r="C45">
            <v>0.02817131839411674</v>
          </cell>
          <cell r="D45">
            <v>0.029190949941770516</v>
          </cell>
          <cell r="E45">
            <v>0.031043651956112583</v>
          </cell>
          <cell r="F45">
            <v>0.0379152074951353</v>
          </cell>
          <cell r="G45">
            <v>0.04475296893194136</v>
          </cell>
          <cell r="H45">
            <v>0.06589110460849468</v>
          </cell>
          <cell r="I45">
            <v>0.10426770938622709</v>
          </cell>
          <cell r="J45">
            <v>0.19851764444564968</v>
          </cell>
          <cell r="K45">
            <v>0.4045362130681076</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B46">
            <v>0.02305755174804877</v>
          </cell>
          <cell r="C46">
            <v>0.024061340956561456</v>
          </cell>
          <cell r="D46">
            <v>0.024847884773906093</v>
          </cell>
          <cell r="E46">
            <v>0.026144230673337127</v>
          </cell>
          <cell r="F46">
            <v>0.029964191345541846</v>
          </cell>
          <cell r="G46">
            <v>0.03323748797780937</v>
          </cell>
          <cell r="H46">
            <v>0.04268505136566708</v>
          </cell>
          <cell r="I46">
            <v>0.06136276475547331</v>
          </cell>
          <cell r="J46">
            <v>0.10456306284159866</v>
          </cell>
          <cell r="K46">
            <v>0.19526362107399414</v>
          </cell>
          <cell r="L46">
            <v>0.3990728520978215</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B47">
            <v>0.018521284406417066</v>
          </cell>
          <cell r="C47">
            <v>0.019307536387500254</v>
          </cell>
          <cell r="D47">
            <v>0.01990603251135406</v>
          </cell>
          <cell r="E47">
            <v>0.020835506514480046</v>
          </cell>
          <cell r="F47">
            <v>0.023107424012485556</v>
          </cell>
          <cell r="G47">
            <v>0.024740208512041145</v>
          </cell>
          <cell r="H47">
            <v>0.028989019209080674</v>
          </cell>
          <cell r="I47">
            <v>0.038517547142345426</v>
          </cell>
          <cell r="J47">
            <v>0.058741814413000554</v>
          </cell>
          <cell r="K47">
            <v>0.09851248025563963</v>
          </cell>
          <cell r="L47">
            <v>0.18428023357549878</v>
          </cell>
          <cell r="M47">
            <v>0.37530677345675456</v>
          </cell>
          <cell r="N47">
            <v>0</v>
          </cell>
          <cell r="O47">
            <v>0</v>
          </cell>
          <cell r="P47">
            <v>0</v>
          </cell>
          <cell r="Q47">
            <v>0</v>
          </cell>
          <cell r="R47">
            <v>0</v>
          </cell>
          <cell r="S47">
            <v>0</v>
          </cell>
          <cell r="T47">
            <v>0</v>
          </cell>
          <cell r="U47">
            <v>0</v>
          </cell>
          <cell r="V47">
            <v>0</v>
          </cell>
          <cell r="W47">
            <v>0</v>
          </cell>
          <cell r="X47">
            <v>0</v>
          </cell>
          <cell r="Y47">
            <v>0</v>
          </cell>
          <cell r="Z47">
            <v>0</v>
          </cell>
        </row>
        <row r="48">
          <cell r="B48">
            <v>0.017636106877781124</v>
          </cell>
          <cell r="C48">
            <v>0.018375233487537945</v>
          </cell>
          <cell r="D48">
            <v>0.01892926875722324</v>
          </cell>
          <cell r="E48">
            <v>0.01976107571135592</v>
          </cell>
          <cell r="F48">
            <v>0.02154518047852591</v>
          </cell>
          <cell r="G48">
            <v>0.022625466796397264</v>
          </cell>
          <cell r="H48">
            <v>0.025080964346443524</v>
          </cell>
          <cell r="I48">
            <v>0.031547573394853645</v>
          </cell>
          <cell r="J48">
            <v>0.043912605640644864</v>
          </cell>
          <cell r="K48">
            <v>0.06602995960962346</v>
          </cell>
          <cell r="L48">
            <v>0.11058813789343452</v>
          </cell>
          <cell r="M48">
            <v>0.20562889363085513</v>
          </cell>
          <cell r="N48">
            <v>0.39700782365342135</v>
          </cell>
          <cell r="O48">
            <v>0</v>
          </cell>
          <cell r="P48">
            <v>0</v>
          </cell>
          <cell r="Q48">
            <v>0</v>
          </cell>
          <cell r="R48">
            <v>0</v>
          </cell>
          <cell r="S48">
            <v>0</v>
          </cell>
          <cell r="T48">
            <v>0</v>
          </cell>
          <cell r="U48">
            <v>0</v>
          </cell>
          <cell r="V48">
            <v>0</v>
          </cell>
          <cell r="W48">
            <v>0</v>
          </cell>
          <cell r="X48">
            <v>0</v>
          </cell>
          <cell r="Y48">
            <v>0</v>
          </cell>
          <cell r="Z48">
            <v>0</v>
          </cell>
        </row>
        <row r="49">
          <cell r="B49">
            <v>0.013551768209243281</v>
          </cell>
          <cell r="C49">
            <v>0.014116045214073461</v>
          </cell>
          <cell r="D49">
            <v>0.014535667601516977</v>
          </cell>
          <cell r="E49">
            <v>0.015154340547738163</v>
          </cell>
          <cell r="F49">
            <v>0.016379283795594723</v>
          </cell>
          <cell r="G49">
            <v>0.017026747380219975</v>
          </cell>
          <cell r="H49">
            <v>0.018301426550003094</v>
          </cell>
          <cell r="I49">
            <v>0.02226708120942228</v>
          </cell>
          <cell r="J49">
            <v>0.029115241199235087</v>
          </cell>
          <cell r="K49">
            <v>0.040046659417022706</v>
          </cell>
          <cell r="L49">
            <v>0.06000032386763102</v>
          </cell>
          <cell r="M49">
            <v>0.09959627086162448</v>
          </cell>
          <cell r="N49">
            <v>0.17584820541286883</v>
          </cell>
          <cell r="O49">
            <v>0.3620790455161448</v>
          </cell>
          <cell r="P49">
            <v>0</v>
          </cell>
          <cell r="Q49">
            <v>0</v>
          </cell>
          <cell r="R49">
            <v>0</v>
          </cell>
          <cell r="S49">
            <v>0</v>
          </cell>
          <cell r="T49">
            <v>0</v>
          </cell>
          <cell r="U49">
            <v>0</v>
          </cell>
          <cell r="V49">
            <v>0</v>
          </cell>
          <cell r="W49">
            <v>0</v>
          </cell>
          <cell r="X49">
            <v>0</v>
          </cell>
          <cell r="Y49">
            <v>0</v>
          </cell>
          <cell r="Z49">
            <v>0</v>
          </cell>
        </row>
        <row r="50">
          <cell r="B50">
            <v>0.012358534703789253</v>
          </cell>
          <cell r="C50">
            <v>0.012871532836482</v>
          </cell>
          <cell r="D50">
            <v>0.013251559840014429</v>
          </cell>
          <cell r="E50">
            <v>0.013806868479659368</v>
          </cell>
          <cell r="F50">
            <v>0.014860636561323609</v>
          </cell>
          <cell r="G50">
            <v>0.015371871709016785</v>
          </cell>
          <cell r="H50">
            <v>0.01626879733577509</v>
          </cell>
          <cell r="I50">
            <v>0.019450074615910598</v>
          </cell>
          <cell r="J50">
            <v>0.02454441286309833</v>
          </cell>
          <cell r="K50">
            <v>0.031883175282031884</v>
          </cell>
          <cell r="L50">
            <v>0.04388372372911448</v>
          </cell>
          <cell r="M50">
            <v>0.06549122227602644</v>
          </cell>
          <cell r="N50">
            <v>0.1043175041928675</v>
          </cell>
          <cell r="O50">
            <v>0.19482940314513136</v>
          </cell>
          <cell r="P50">
            <v>0.37052511468767735</v>
          </cell>
          <cell r="Q50">
            <v>0</v>
          </cell>
          <cell r="R50">
            <v>0</v>
          </cell>
          <cell r="S50">
            <v>0</v>
          </cell>
          <cell r="T50">
            <v>0</v>
          </cell>
          <cell r="U50">
            <v>0</v>
          </cell>
          <cell r="V50">
            <v>0</v>
          </cell>
          <cell r="W50">
            <v>0</v>
          </cell>
          <cell r="X50">
            <v>0</v>
          </cell>
          <cell r="Y50">
            <v>0</v>
          </cell>
          <cell r="Z50">
            <v>0</v>
          </cell>
        </row>
        <row r="51">
          <cell r="B51">
            <v>0.01046804673707779</v>
          </cell>
          <cell r="C51">
            <v>0.010901879576552129</v>
          </cell>
          <cell r="D51">
            <v>0.011222624798866987</v>
          </cell>
          <cell r="E51">
            <v>0.011689129785358299</v>
          </cell>
          <cell r="F51">
            <v>0.012554224888953677</v>
          </cell>
          <cell r="G51">
            <v>0.012952878334751686</v>
          </cell>
          <cell r="H51">
            <v>0.013597376995442528</v>
          </cell>
          <cell r="I51">
            <v>0.016103153797401626</v>
          </cell>
          <cell r="J51">
            <v>0.019918791592521398</v>
          </cell>
          <cell r="K51">
            <v>0.02499356596724553</v>
          </cell>
          <cell r="L51">
            <v>0.0324694903618751</v>
          </cell>
          <cell r="M51">
            <v>0.0444783947327759</v>
          </cell>
          <cell r="N51">
            <v>0.06403779364674134</v>
          </cell>
          <cell r="O51">
            <v>0.10628183616798675</v>
          </cell>
          <cell r="P51">
            <v>0.18436118810036156</v>
          </cell>
          <cell r="Q51">
            <v>0.36056377926801053</v>
          </cell>
          <cell r="R51">
            <v>0</v>
          </cell>
          <cell r="S51">
            <v>0</v>
          </cell>
          <cell r="T51">
            <v>0</v>
          </cell>
          <cell r="U51">
            <v>0</v>
          </cell>
          <cell r="V51">
            <v>0</v>
          </cell>
          <cell r="W51">
            <v>0</v>
          </cell>
          <cell r="X51">
            <v>0</v>
          </cell>
          <cell r="Y51">
            <v>0</v>
          </cell>
          <cell r="Z51">
            <v>0</v>
          </cell>
        </row>
        <row r="52">
          <cell r="B52">
            <v>0.009046442686308422</v>
          </cell>
          <cell r="C52">
            <v>0.00942106591838026</v>
          </cell>
          <cell r="D52">
            <v>0.009697765503699898</v>
          </cell>
          <cell r="E52">
            <v>0.010099281577774753</v>
          </cell>
          <cell r="F52">
            <v>0.010835243796274568</v>
          </cell>
          <cell r="G52">
            <v>0.011165183718162844</v>
          </cell>
          <cell r="H52">
            <v>0.011673306862316116</v>
          </cell>
          <cell r="I52">
            <v>0.013758720573675345</v>
          </cell>
          <cell r="J52">
            <v>0.01684444753751689</v>
          </cell>
          <cell r="K52">
            <v>0.020746153344364415</v>
          </cell>
          <cell r="L52">
            <v>0.02606684192556674</v>
          </cell>
          <cell r="M52">
            <v>0.03377680887117315</v>
          </cell>
          <cell r="N52">
            <v>0.04502963610630345</v>
          </cell>
          <cell r="O52">
            <v>0.06694324944711916</v>
          </cell>
          <cell r="P52">
            <v>0.1044283881573827</v>
          </cell>
          <cell r="Q52">
            <v>0.18481148980234224</v>
          </cell>
          <cell r="R52">
            <v>0.3553920793126102</v>
          </cell>
          <cell r="S52">
            <v>0</v>
          </cell>
          <cell r="T52">
            <v>0</v>
          </cell>
          <cell r="U52">
            <v>0</v>
          </cell>
          <cell r="V52">
            <v>0</v>
          </cell>
          <cell r="W52">
            <v>0</v>
          </cell>
          <cell r="X52">
            <v>0</v>
          </cell>
          <cell r="Y52">
            <v>0</v>
          </cell>
          <cell r="Z52">
            <v>0</v>
          </cell>
        </row>
        <row r="53">
          <cell r="B53">
            <v>0.007711201379616665</v>
          </cell>
          <cell r="C53">
            <v>0.00803040746703483</v>
          </cell>
          <cell r="D53">
            <v>0.008266061811120808</v>
          </cell>
          <cell r="E53">
            <v>0.00860762704597881</v>
          </cell>
          <cell r="F53">
            <v>0.009230064495353775</v>
          </cell>
          <cell r="G53">
            <v>0.009505177998751932</v>
          </cell>
          <cell r="H53">
            <v>0.009917764531059317</v>
          </cell>
          <cell r="I53">
            <v>0.011661710537622452</v>
          </cell>
          <cell r="J53">
            <v>0.01420296876509887</v>
          </cell>
          <cell r="K53">
            <v>0.017325341245581508</v>
          </cell>
          <cell r="L53">
            <v>0.021381414886162825</v>
          </cell>
          <cell r="M53">
            <v>0.02683163888537518</v>
          </cell>
          <cell r="N53">
            <v>0.03404795079069459</v>
          </cell>
          <cell r="O53">
            <v>0.04659147014260509</v>
          </cell>
          <cell r="P53">
            <v>0.06593460225334136</v>
          </cell>
          <cell r="Q53">
            <v>0.10422775311568555</v>
          </cell>
          <cell r="R53">
            <v>0.18113685641674016</v>
          </cell>
          <cell r="S53">
            <v>0.3466136056066824</v>
          </cell>
          <cell r="T53">
            <v>0</v>
          </cell>
          <cell r="U53">
            <v>0</v>
          </cell>
          <cell r="V53">
            <v>0</v>
          </cell>
          <cell r="W53">
            <v>0</v>
          </cell>
          <cell r="X53">
            <v>0</v>
          </cell>
          <cell r="Y53">
            <v>0</v>
          </cell>
          <cell r="Z53">
            <v>0</v>
          </cell>
        </row>
        <row r="54">
          <cell r="B54">
            <v>0.006573924336994136</v>
          </cell>
          <cell r="C54">
            <v>0.006846001296781708</v>
          </cell>
          <cell r="D54">
            <v>0.0070468150714689745</v>
          </cell>
          <cell r="E54">
            <v>0.0073377182955908365</v>
          </cell>
          <cell r="F54">
            <v>0.007866314464005583</v>
          </cell>
          <cell r="G54">
            <v>0.008098298587865434</v>
          </cell>
          <cell r="H54">
            <v>0.008441473077296945</v>
          </cell>
          <cell r="I54">
            <v>0.009914181305233166</v>
          </cell>
          <cell r="J54">
            <v>0.012043533729404685</v>
          </cell>
          <cell r="K54">
            <v>0.014620592028382035</v>
          </cell>
          <cell r="L54">
            <v>0.017878650371670426</v>
          </cell>
          <cell r="M54">
            <v>0.02205740436897574</v>
          </cell>
          <cell r="N54">
            <v>0.027219060520190297</v>
          </cell>
          <cell r="O54">
            <v>0.03535472010226404</v>
          </cell>
          <cell r="P54">
            <v>0.046588398478009024</v>
          </cell>
          <cell r="Q54">
            <v>0.06663325297165545</v>
          </cell>
          <cell r="R54">
            <v>0.10364512195258868</v>
          </cell>
          <cell r="S54">
            <v>0.17881954788738186</v>
          </cell>
          <cell r="T54">
            <v>0.33751261238409114</v>
          </cell>
          <cell r="U54">
            <v>0</v>
          </cell>
          <cell r="V54">
            <v>0</v>
          </cell>
          <cell r="W54">
            <v>0</v>
          </cell>
          <cell r="X54">
            <v>0</v>
          </cell>
          <cell r="Y54">
            <v>0</v>
          </cell>
          <cell r="Z54">
            <v>0</v>
          </cell>
        </row>
        <row r="55">
          <cell r="B55">
            <v>0.005644890361308885</v>
          </cell>
          <cell r="C55">
            <v>0.005878495435929311</v>
          </cell>
          <cell r="D55">
            <v>0.006050893990278028</v>
          </cell>
          <cell r="E55">
            <v>0.006300565567202154</v>
          </cell>
          <cell r="F55">
            <v>0.006753598908769025</v>
          </cell>
          <cell r="G55">
            <v>0.006951721510916879</v>
          </cell>
          <cell r="H55">
            <v>0.007242787517367684</v>
          </cell>
          <cell r="I55">
            <v>0.008501452880548308</v>
          </cell>
          <cell r="J55">
            <v>0.010314233015767414</v>
          </cell>
          <cell r="K55">
            <v>0.012491332159548979</v>
          </cell>
          <cell r="L55">
            <v>0.015204698043146933</v>
          </cell>
          <cell r="M55">
            <v>0.018595697430034364</v>
          </cell>
          <cell r="N55">
            <v>0.022610264141582237</v>
          </cell>
          <cell r="O55">
            <v>0.028517517087465943</v>
          </cell>
          <cell r="P55">
            <v>0.03594690310771578</v>
          </cell>
          <cell r="Q55">
            <v>0.04784527883698739</v>
          </cell>
          <cell r="R55">
            <v>0.06758517628224359</v>
          </cell>
          <cell r="S55">
            <v>0.10434696188489723</v>
          </cell>
          <cell r="T55">
            <v>0.17739979896901348</v>
          </cell>
          <cell r="U55">
            <v>0.3298478906530622</v>
          </cell>
          <cell r="V55">
            <v>0</v>
          </cell>
          <cell r="W55">
            <v>0</v>
          </cell>
          <cell r="X55">
            <v>0</v>
          </cell>
          <cell r="Y55">
            <v>0</v>
          </cell>
          <cell r="Z55">
            <v>0</v>
          </cell>
        </row>
        <row r="56">
          <cell r="B56">
            <v>0.004812377767169845</v>
          </cell>
          <cell r="C56">
            <v>0.005011521504786617</v>
          </cell>
          <cell r="D56">
            <v>0.0051584795001336885</v>
          </cell>
          <cell r="E56">
            <v>0.0053712786495869955</v>
          </cell>
          <cell r="F56">
            <v>0.005757137343999484</v>
          </cell>
          <cell r="G56">
            <v>0.005925589081185623</v>
          </cell>
          <cell r="H56">
            <v>0.006172214845706202</v>
          </cell>
          <cell r="I56">
            <v>0.007242770402640077</v>
          </cell>
          <cell r="J56">
            <v>0.008781639898942616</v>
          </cell>
          <cell r="K56">
            <v>0.010622665449103438</v>
          </cell>
          <cell r="L56">
            <v>0.012900540084766862</v>
          </cell>
          <cell r="M56">
            <v>0.015708762106361004</v>
          </cell>
          <cell r="N56">
            <v>0.018956182550852768</v>
          </cell>
          <cell r="O56">
            <v>0.02354005022020511</v>
          </cell>
          <cell r="P56">
            <v>0.028944484190425834</v>
          </cell>
          <cell r="Q56">
            <v>0.03686055687798234</v>
          </cell>
          <cell r="R56">
            <v>0.048641413721565385</v>
          </cell>
          <cell r="S56">
            <v>0.06833237540886322</v>
          </cell>
          <cell r="T56">
            <v>0.1041120735290273</v>
          </cell>
          <cell r="U56">
            <v>0.1742118325795044</v>
          </cell>
          <cell r="V56">
            <v>0.32018763021123275</v>
          </cell>
          <cell r="W56">
            <v>0</v>
          </cell>
          <cell r="X56">
            <v>0</v>
          </cell>
          <cell r="Y56">
            <v>0</v>
          </cell>
          <cell r="Z56">
            <v>0</v>
          </cell>
        </row>
        <row r="57">
          <cell r="B57">
            <v>0.004132294641346571</v>
          </cell>
          <cell r="C57">
            <v>0.004303291640345944</v>
          </cell>
          <cell r="D57">
            <v>0.0044294752311965745</v>
          </cell>
          <cell r="E57">
            <v>0.004612180326347613</v>
          </cell>
          <cell r="F57">
            <v>0.004943357423588347</v>
          </cell>
          <cell r="G57">
            <v>0.005087813196365816</v>
          </cell>
          <cell r="H57">
            <v>0.005298947625791299</v>
          </cell>
          <cell r="I57">
            <v>0.00621716654007768</v>
          </cell>
          <cell r="J57">
            <v>0.007535797116449187</v>
          </cell>
          <cell r="K57">
            <v>0.00911032702742666</v>
          </cell>
          <cell r="L57">
            <v>0.011051398124404685</v>
          </cell>
          <cell r="M57">
            <v>0.013427901421739774</v>
          </cell>
          <cell r="N57">
            <v>0.01614256878256895</v>
          </cell>
          <cell r="O57">
            <v>0.01988796250600429</v>
          </cell>
          <cell r="P57">
            <v>0.024136775441765845</v>
          </cell>
          <cell r="Q57">
            <v>0.02999480734879678</v>
          </cell>
          <cell r="R57">
            <v>0.03798214980772091</v>
          </cell>
          <cell r="S57">
            <v>0.04997794474043854</v>
          </cell>
          <cell r="T57">
            <v>0.06952654983829015</v>
          </cell>
          <cell r="U57">
            <v>0.10447472668024</v>
          </cell>
          <cell r="V57">
            <v>0.17259624078846603</v>
          </cell>
          <cell r="W57">
            <v>0.31187884228532403</v>
          </cell>
          <cell r="X57">
            <v>0</v>
          </cell>
          <cell r="Y57">
            <v>0</v>
          </cell>
          <cell r="Z57">
            <v>0</v>
          </cell>
        </row>
        <row r="58">
          <cell r="B58">
            <v>0.0033978401869897215</v>
          </cell>
          <cell r="C58">
            <v>0.003538443457731199</v>
          </cell>
          <cell r="D58">
            <v>0.0036421972304303656</v>
          </cell>
          <cell r="E58">
            <v>0.0037924206425553678</v>
          </cell>
          <cell r="F58">
            <v>0.004064675026626108</v>
          </cell>
          <cell r="G58">
            <v>0.004183379764522686</v>
          </cell>
          <cell r="H58">
            <v>0.004356732928025481</v>
          </cell>
          <cell r="I58">
            <v>0.005111333622032088</v>
          </cell>
          <cell r="J58">
            <v>0.006194490787414804</v>
          </cell>
          <cell r="K58">
            <v>0.007486642948324067</v>
          </cell>
          <cell r="L58">
            <v>0.009076761076610422</v>
          </cell>
          <cell r="M58">
            <v>0.011016935633769584</v>
          </cell>
          <cell r="N58">
            <v>0.01321958878639623</v>
          </cell>
          <cell r="O58">
            <v>0.016223045053273558</v>
          </cell>
          <cell r="P58">
            <v>0.019559997105466173</v>
          </cell>
          <cell r="Q58">
            <v>0.02400123330058751</v>
          </cell>
          <cell r="R58">
            <v>0.029717758135684058</v>
          </cell>
          <cell r="S58">
            <v>0.037617130890020195</v>
          </cell>
          <cell r="T58">
            <v>0.049222810839251674</v>
          </cell>
          <cell r="U58">
            <v>0.06786467143334413</v>
          </cell>
          <cell r="V58">
            <v>0.10099594529920841</v>
          </cell>
          <cell r="W58">
            <v>0.16429228568983278</v>
          </cell>
          <cell r="X58">
            <v>0.29322104132327764</v>
          </cell>
          <cell r="Y58">
            <v>0</v>
          </cell>
          <cell r="Z58">
            <v>0</v>
          </cell>
        </row>
        <row r="59">
          <cell r="B59">
            <v>0.021038448853274022</v>
          </cell>
          <cell r="C59">
            <v>0.021909015647548283</v>
          </cell>
          <cell r="D59">
            <v>0.022551415530330573</v>
          </cell>
          <cell r="E59">
            <v>0.023481509921236255</v>
          </cell>
          <cell r="F59">
            <v>0.02516690484254061</v>
          </cell>
          <cell r="G59">
            <v>0.02590148269472724</v>
          </cell>
          <cell r="H59">
            <v>0.026973469016684428</v>
          </cell>
          <cell r="I59">
            <v>0.03164349947683755</v>
          </cell>
          <cell r="J59">
            <v>0.03834417376228301</v>
          </cell>
          <cell r="K59">
            <v>0.04633127112360393</v>
          </cell>
          <cell r="L59">
            <v>0.0561449339622957</v>
          </cell>
          <cell r="M59">
            <v>0.06808329632453469</v>
          </cell>
          <cell r="N59">
            <v>0.08156342141551245</v>
          </cell>
          <cell r="O59">
            <v>0.09975170061179991</v>
          </cell>
          <cell r="P59">
            <v>0.11957414847785437</v>
          </cell>
          <cell r="Q59">
            <v>0.1450618484779522</v>
          </cell>
          <cell r="R59">
            <v>0.17589944437084704</v>
          </cell>
          <cell r="S59">
            <v>0.21429243358171654</v>
          </cell>
          <cell r="T59">
            <v>0.26222615444032626</v>
          </cell>
          <cell r="U59">
            <v>0.3236008786538493</v>
          </cell>
          <cell r="V59">
            <v>0.4062201837010928</v>
          </cell>
          <cell r="W59">
            <v>0.5238288720248432</v>
          </cell>
          <cell r="X59">
            <v>0.7067789586767224</v>
          </cell>
          <cell r="Y59">
            <v>1</v>
          </cell>
          <cell r="Z59">
            <v>0</v>
          </cell>
        </row>
        <row r="65">
          <cell r="B65">
            <v>1</v>
          </cell>
          <cell r="C65">
            <v>2</v>
          </cell>
          <cell r="D65">
            <v>3</v>
          </cell>
          <cell r="E65">
            <v>4</v>
          </cell>
          <cell r="F65">
            <v>5</v>
          </cell>
          <cell r="G65">
            <v>6</v>
          </cell>
          <cell r="H65">
            <v>7</v>
          </cell>
          <cell r="I65">
            <v>8</v>
          </cell>
          <cell r="J65">
            <v>9</v>
          </cell>
          <cell r="K65">
            <v>10</v>
          </cell>
          <cell r="L65">
            <v>11</v>
          </cell>
          <cell r="M65">
            <v>12</v>
          </cell>
          <cell r="N65">
            <v>13</v>
          </cell>
          <cell r="O65">
            <v>14</v>
          </cell>
          <cell r="P65">
            <v>15</v>
          </cell>
          <cell r="Q65">
            <v>16</v>
          </cell>
          <cell r="R65">
            <v>17</v>
          </cell>
          <cell r="S65">
            <v>18</v>
          </cell>
          <cell r="T65">
            <v>19</v>
          </cell>
          <cell r="U65">
            <v>20</v>
          </cell>
          <cell r="V65">
            <v>21</v>
          </cell>
          <cell r="W65">
            <v>22</v>
          </cell>
          <cell r="X65">
            <v>23</v>
          </cell>
          <cell r="Y65">
            <v>24</v>
          </cell>
          <cell r="Z65">
            <v>25</v>
          </cell>
        </row>
        <row r="66">
          <cell r="A66">
            <v>1</v>
          </cell>
          <cell r="B66">
            <v>1</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2</v>
          </cell>
          <cell r="B67">
            <v>-3.3355711596777287</v>
          </cell>
          <cell r="C67">
            <v>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3</v>
          </cell>
          <cell r="B68">
            <v>4.855192497082574</v>
          </cell>
          <cell r="C68">
            <v>-6.17382342328549</v>
          </cell>
          <cell r="D68">
            <v>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4</v>
          </cell>
          <cell r="B69">
            <v>-8.524638238108757</v>
          </cell>
          <cell r="C69">
            <v>507.743011934467</v>
          </cell>
          <cell r="D69">
            <v>7.704428371725801</v>
          </cell>
          <cell r="E69">
            <v>1</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5</v>
          </cell>
          <cell r="B70">
            <v>-18.542428197647</v>
          </cell>
          <cell r="C70">
            <v>744.1109619828184</v>
          </cell>
          <cell r="D70">
            <v>10.26682222449019</v>
          </cell>
          <cell r="E70">
            <v>1.4535519419208842</v>
          </cell>
          <cell r="F70">
            <v>1</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v>
          </cell>
          <cell r="B71">
            <v>-9.274836106941766</v>
          </cell>
          <cell r="C71">
            <v>331.8513371495147</v>
          </cell>
          <cell r="D71">
            <v>4.409759643016375</v>
          </cell>
          <cell r="E71">
            <v>0.6462625033198519</v>
          </cell>
          <cell r="F71">
            <v>0.614227730872423</v>
          </cell>
          <cell r="G71">
            <v>1</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7</v>
          </cell>
          <cell r="B72">
            <v>-7.777173773367092</v>
          </cell>
          <cell r="C72">
            <v>271.87355762938813</v>
          </cell>
          <cell r="D72">
            <v>3.5847307277440112</v>
          </cell>
          <cell r="E72">
            <v>0.5291255398622431</v>
          </cell>
          <cell r="F72">
            <v>0.5357162971089742</v>
          </cell>
          <cell r="G72">
            <v>1.1321433478017993</v>
          </cell>
          <cell r="H72">
            <v>1</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8</v>
          </cell>
          <cell r="B73">
            <v>-5.6105763911493565</v>
          </cell>
          <cell r="C73">
            <v>195.83508439872617</v>
          </cell>
          <cell r="D73">
            <v>2.5884970545778074</v>
          </cell>
          <cell r="E73">
            <v>0.3811838656171919</v>
          </cell>
          <cell r="F73">
            <v>0.3929742939715932</v>
          </cell>
          <cell r="G73">
            <v>0.9695046309779285</v>
          </cell>
          <cell r="H73">
            <v>1.2752202769867604</v>
          </cell>
          <cell r="I73">
            <v>1</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9</v>
          </cell>
          <cell r="B74">
            <v>-5.706234514562974</v>
          </cell>
          <cell r="C74">
            <v>197.45907681649967</v>
          </cell>
          <cell r="D74">
            <v>2.604469287025176</v>
          </cell>
          <cell r="E74">
            <v>0.3842710915999404</v>
          </cell>
          <cell r="F74">
            <v>0.4069029016054629</v>
          </cell>
          <cell r="G74">
            <v>1.116274449601525</v>
          </cell>
          <cell r="H74">
            <v>1.8153748940521734</v>
          </cell>
          <cell r="I74">
            <v>2.551812986491895</v>
          </cell>
          <cell r="J74">
            <v>1</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10</v>
          </cell>
          <cell r="B75">
            <v>-5.660671076416791</v>
          </cell>
          <cell r="C75">
            <v>193.25872791879695</v>
          </cell>
          <cell r="D75">
            <v>2.538807061295498</v>
          </cell>
          <cell r="E75">
            <v>0.37596884750973847</v>
          </cell>
          <cell r="F75">
            <v>0.4135483234471685</v>
          </cell>
          <cell r="G75">
            <v>1.2864140015105776</v>
          </cell>
          <cell r="H75">
            <v>2.6138130734732874</v>
          </cell>
          <cell r="I75">
            <v>6.039348536854847</v>
          </cell>
          <cell r="J75">
            <v>6.85035147618966</v>
          </cell>
          <cell r="K75">
            <v>1</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11</v>
          </cell>
          <cell r="B76">
            <v>-6.490122119732061</v>
          </cell>
          <cell r="C76">
            <v>217.65053530447793</v>
          </cell>
          <cell r="D76">
            <v>2.842840643958775</v>
          </cell>
          <cell r="E76">
            <v>0.42322069244859944</v>
          </cell>
          <cell r="F76">
            <v>0.48869383162225555</v>
          </cell>
          <cell r="G76">
            <v>1.7664396603693562</v>
          </cell>
          <cell r="H76">
            <v>4.686109986161798</v>
          </cell>
          <cell r="I76">
            <v>20.414844625561948</v>
          </cell>
          <cell r="J76">
            <v>199.85783031830624</v>
          </cell>
          <cell r="K76">
            <v>-9.818197998367085</v>
          </cell>
          <cell r="L76">
            <v>1</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12</v>
          </cell>
          <cell r="B77">
            <v>-8.244362137865256</v>
          </cell>
          <cell r="C77">
            <v>269.59468179708057</v>
          </cell>
          <cell r="D77">
            <v>3.4918401279810984</v>
          </cell>
          <cell r="E77">
            <v>0.5238677904714287</v>
          </cell>
          <cell r="F77">
            <v>0.6470468067166362</v>
          </cell>
          <cell r="G77">
            <v>2.8748589570683953</v>
          </cell>
          <cell r="H77">
            <v>11.389707207846941</v>
          </cell>
          <cell r="I77">
            <v>215.9002645847329</v>
          </cell>
          <cell r="J77">
            <v>-871.4467758073207</v>
          </cell>
          <cell r="K77">
            <v>24.49314082161148</v>
          </cell>
          <cell r="L77">
            <v>-3.6719222606925057</v>
          </cell>
          <cell r="M77">
            <v>1</v>
          </cell>
          <cell r="N77">
            <v>0</v>
          </cell>
          <cell r="O77">
            <v>0</v>
          </cell>
          <cell r="P77">
            <v>0</v>
          </cell>
          <cell r="Q77">
            <v>0</v>
          </cell>
          <cell r="R77">
            <v>0</v>
          </cell>
          <cell r="S77">
            <v>0</v>
          </cell>
          <cell r="T77">
            <v>0</v>
          </cell>
          <cell r="U77">
            <v>0</v>
          </cell>
          <cell r="V77">
            <v>0</v>
          </cell>
          <cell r="W77">
            <v>0</v>
          </cell>
          <cell r="X77">
            <v>0</v>
          </cell>
          <cell r="Y77">
            <v>0</v>
          </cell>
          <cell r="Z77">
            <v>0</v>
          </cell>
        </row>
        <row r="78">
          <cell r="A78">
            <v>13</v>
          </cell>
          <cell r="B78">
            <v>-10.881163503073008</v>
          </cell>
          <cell r="C78">
            <v>343.3652330834324</v>
          </cell>
          <cell r="D78">
            <v>4.39429318436305</v>
          </cell>
          <cell r="E78">
            <v>0.6665685699044752</v>
          </cell>
          <cell r="F78">
            <v>0.9054221687627384</v>
          </cell>
          <cell r="G78">
            <v>5.479993308329598</v>
          </cell>
          <cell r="H78">
            <v>47.35538622553881</v>
          </cell>
          <cell r="I78">
            <v>-926.6775019852676</v>
          </cell>
          <cell r="J78">
            <v>1149.0106870185014</v>
          </cell>
          <cell r="K78">
            <v>-23.216546681779224</v>
          </cell>
          <cell r="L78">
            <v>4.415820222898823</v>
          </cell>
          <cell r="M78">
            <v>-2.6185333301767852</v>
          </cell>
          <cell r="N78">
            <v>1</v>
          </cell>
          <cell r="O78">
            <v>0</v>
          </cell>
          <cell r="P78">
            <v>0</v>
          </cell>
          <cell r="Q78">
            <v>0</v>
          </cell>
          <cell r="R78">
            <v>0</v>
          </cell>
          <cell r="S78">
            <v>0</v>
          </cell>
          <cell r="T78">
            <v>0</v>
          </cell>
          <cell r="U78">
            <v>0</v>
          </cell>
          <cell r="V78">
            <v>0</v>
          </cell>
          <cell r="W78">
            <v>0</v>
          </cell>
          <cell r="X78">
            <v>0</v>
          </cell>
          <cell r="Y78">
            <v>0</v>
          </cell>
          <cell r="Z78">
            <v>0</v>
          </cell>
        </row>
        <row r="79">
          <cell r="A79">
            <v>14</v>
          </cell>
          <cell r="B79">
            <v>-17.91631765101747</v>
          </cell>
          <cell r="C79">
            <v>537.5615801363494</v>
          </cell>
          <cell r="D79">
            <v>6.7650012283631895</v>
          </cell>
          <cell r="E79">
            <v>1.0421378274886168</v>
          </cell>
          <cell r="F79">
            <v>1.6236181708657966</v>
          </cell>
          <cell r="G79">
            <v>16.757969752727835</v>
          </cell>
          <cell r="H79">
            <v>-818.5533111730684</v>
          </cell>
          <cell r="I79">
            <v>1126.1227978867096</v>
          </cell>
          <cell r="J79">
            <v>-603.5458766940383</v>
          </cell>
          <cell r="K79">
            <v>8.731693485996248</v>
          </cell>
          <cell r="L79">
            <v>-2.1243513086440053</v>
          </cell>
          <cell r="M79">
            <v>2.3782157283544625</v>
          </cell>
          <cell r="N79">
            <v>-2.350700332300236</v>
          </cell>
          <cell r="O79">
            <v>1</v>
          </cell>
          <cell r="P79">
            <v>0</v>
          </cell>
          <cell r="Q79">
            <v>0</v>
          </cell>
          <cell r="R79">
            <v>0</v>
          </cell>
          <cell r="S79">
            <v>0</v>
          </cell>
          <cell r="T79">
            <v>0</v>
          </cell>
          <cell r="U79">
            <v>0</v>
          </cell>
          <cell r="V79">
            <v>0</v>
          </cell>
          <cell r="W79">
            <v>0</v>
          </cell>
          <cell r="X79">
            <v>0</v>
          </cell>
          <cell r="Y79">
            <v>0</v>
          </cell>
          <cell r="Z79">
            <v>0</v>
          </cell>
        </row>
        <row r="80">
          <cell r="A80">
            <v>15</v>
          </cell>
          <cell r="B80">
            <v>-29.12317740087298</v>
          </cell>
          <cell r="C80">
            <v>804.6928201608589</v>
          </cell>
          <cell r="D80">
            <v>9.858698632931857</v>
          </cell>
          <cell r="E80">
            <v>1.556602477056204</v>
          </cell>
          <cell r="F80">
            <v>3.058066317478142</v>
          </cell>
          <cell r="G80">
            <v>136.24644517181207</v>
          </cell>
          <cell r="H80">
            <v>1310.2301455373604</v>
          </cell>
          <cell r="I80">
            <v>-472.3586940239087</v>
          </cell>
          <cell r="J80">
            <v>106.03382734888619</v>
          </cell>
          <cell r="K80">
            <v>-0.9831816422838596</v>
          </cell>
          <cell r="L80">
            <v>0.33448489500226775</v>
          </cell>
          <cell r="M80">
            <v>-0.7600772860180207</v>
          </cell>
          <cell r="N80">
            <v>1.65375869811874</v>
          </cell>
          <cell r="O80">
            <v>-1.972962479821117</v>
          </cell>
          <cell r="P80">
            <v>1</v>
          </cell>
          <cell r="Q80">
            <v>0</v>
          </cell>
          <cell r="R80">
            <v>0</v>
          </cell>
          <cell r="S80">
            <v>0</v>
          </cell>
          <cell r="T80">
            <v>0</v>
          </cell>
          <cell r="U80">
            <v>0</v>
          </cell>
          <cell r="V80">
            <v>0</v>
          </cell>
          <cell r="W80">
            <v>0</v>
          </cell>
          <cell r="X80">
            <v>0</v>
          </cell>
          <cell r="Y80">
            <v>0</v>
          </cell>
          <cell r="Z80">
            <v>0</v>
          </cell>
        </row>
        <row r="81">
          <cell r="A81">
            <v>16</v>
          </cell>
          <cell r="B81">
            <v>-63.34211577320185</v>
          </cell>
          <cell r="C81">
            <v>1528.6248313231897</v>
          </cell>
          <cell r="D81">
            <v>17.963880263392216</v>
          </cell>
          <cell r="E81">
            <v>2.9468396544197244</v>
          </cell>
          <cell r="F81">
            <v>8.770854513443037</v>
          </cell>
          <cell r="G81">
            <v>-481.530065406464</v>
          </cell>
          <cell r="H81">
            <v>-660.0260578407122</v>
          </cell>
          <cell r="I81">
            <v>26.979198539937173</v>
          </cell>
          <cell r="J81">
            <v>8.13954143947642</v>
          </cell>
          <cell r="K81">
            <v>-0.11842721123933118</v>
          </cell>
          <cell r="L81">
            <v>0.029625170451456566</v>
          </cell>
          <cell r="M81">
            <v>0.00442352521300357</v>
          </cell>
          <cell r="N81">
            <v>-0.31059911465819734</v>
          </cell>
          <cell r="O81">
            <v>1.1924708678391605</v>
          </cell>
          <cell r="P81">
            <v>-1.969173590500736</v>
          </cell>
          <cell r="Q81">
            <v>1</v>
          </cell>
          <cell r="R81">
            <v>0</v>
          </cell>
          <cell r="S81">
            <v>0</v>
          </cell>
          <cell r="T81">
            <v>0</v>
          </cell>
          <cell r="U81">
            <v>0</v>
          </cell>
          <cell r="V81">
            <v>0</v>
          </cell>
          <cell r="W81">
            <v>0</v>
          </cell>
          <cell r="X81">
            <v>0</v>
          </cell>
          <cell r="Y81">
            <v>0</v>
          </cell>
          <cell r="Z81">
            <v>0</v>
          </cell>
        </row>
        <row r="82">
          <cell r="A82">
            <v>17</v>
          </cell>
          <cell r="B82">
            <v>-198.3549902469461</v>
          </cell>
          <cell r="C82">
            <v>3562.244079038944</v>
          </cell>
          <cell r="D82">
            <v>38.62044804826341</v>
          </cell>
          <cell r="E82">
            <v>6.820616992412056</v>
          </cell>
          <cell r="F82">
            <v>68.74423835278786</v>
          </cell>
          <cell r="G82">
            <v>407.55440702392747</v>
          </cell>
          <cell r="H82">
            <v>85.23732585328499</v>
          </cell>
          <cell r="I82">
            <v>1.8578860262584191</v>
          </cell>
          <cell r="J82">
            <v>1.578744216784713</v>
          </cell>
          <cell r="K82">
            <v>-0.028522837042858438</v>
          </cell>
          <cell r="L82">
            <v>0.006065550512274359</v>
          </cell>
          <cell r="M82">
            <v>-0.00013343978432546938</v>
          </cell>
          <cell r="N82">
            <v>-0.0028562358153070445</v>
          </cell>
          <cell r="O82">
            <v>-0.20155000959949182</v>
          </cell>
          <cell r="P82">
            <v>1.1257839324457921</v>
          </cell>
          <cell r="Q82">
            <v>-1.8285044679797817</v>
          </cell>
          <cell r="R82">
            <v>1</v>
          </cell>
          <cell r="S82">
            <v>0</v>
          </cell>
          <cell r="T82">
            <v>0</v>
          </cell>
          <cell r="U82">
            <v>0</v>
          </cell>
          <cell r="V82">
            <v>0</v>
          </cell>
          <cell r="W82">
            <v>0</v>
          </cell>
          <cell r="X82">
            <v>0</v>
          </cell>
          <cell r="Y82">
            <v>0</v>
          </cell>
          <cell r="Z82">
            <v>0</v>
          </cell>
        </row>
        <row r="83">
          <cell r="A83">
            <v>18</v>
          </cell>
          <cell r="B83">
            <v>-3475.5230055299126</v>
          </cell>
          <cell r="C83">
            <v>14629.715541233292</v>
          </cell>
          <cell r="D83">
            <v>127.92775545576565</v>
          </cell>
          <cell r="E83">
            <v>27.469802547514384</v>
          </cell>
          <cell r="F83">
            <v>-228.95357713433867</v>
          </cell>
          <cell r="G83">
            <v>-94.74125131087261</v>
          </cell>
          <cell r="H83">
            <v>7.155051079475864</v>
          </cell>
          <cell r="I83">
            <v>0.07486306009465535</v>
          </cell>
          <cell r="J83">
            <v>0.6093287195507399</v>
          </cell>
          <cell r="K83">
            <v>-0.012883330777020035</v>
          </cell>
          <cell r="L83">
            <v>0.002423289598498184</v>
          </cell>
          <cell r="M83">
            <v>-0.0004934375334143353</v>
          </cell>
          <cell r="N83">
            <v>0.000986935105747306</v>
          </cell>
          <cell r="O83">
            <v>-0.011643351155600997</v>
          </cell>
          <cell r="P83">
            <v>-0.14578877957538333</v>
          </cell>
          <cell r="Q83">
            <v>0.9423926938209134</v>
          </cell>
          <cell r="R83">
            <v>-1.780022214524705</v>
          </cell>
          <cell r="S83">
            <v>1</v>
          </cell>
          <cell r="T83">
            <v>0</v>
          </cell>
          <cell r="U83">
            <v>0</v>
          </cell>
          <cell r="V83">
            <v>0</v>
          </cell>
          <cell r="W83">
            <v>0</v>
          </cell>
          <cell r="X83">
            <v>0</v>
          </cell>
          <cell r="Y83">
            <v>0</v>
          </cell>
          <cell r="Z83">
            <v>0</v>
          </cell>
        </row>
        <row r="84">
          <cell r="A84">
            <v>19</v>
          </cell>
          <cell r="B84">
            <v>7598.492346468141</v>
          </cell>
          <cell r="C84">
            <v>-179899.433408376</v>
          </cell>
          <cell r="D84">
            <v>4575.494507945921</v>
          </cell>
          <cell r="E84">
            <v>-380.5352661027293</v>
          </cell>
          <cell r="F84">
            <v>175.25265470287223</v>
          </cell>
          <cell r="G84">
            <v>-1.5175508156873208</v>
          </cell>
          <cell r="H84">
            <v>1.8146016234775444</v>
          </cell>
          <cell r="I84">
            <v>-0.19879570150749842</v>
          </cell>
          <cell r="J84">
            <v>0.35180833010103485</v>
          </cell>
          <cell r="K84">
            <v>-0.008181663128243375</v>
          </cell>
          <cell r="L84">
            <v>0.0014279033858705542</v>
          </cell>
          <cell r="M84">
            <v>-0.00048736506732292503</v>
          </cell>
          <cell r="N84">
            <v>0.0012918047105902831</v>
          </cell>
          <cell r="O84">
            <v>-0.002449929111842263</v>
          </cell>
          <cell r="P84">
            <v>-0.010039720905637563</v>
          </cell>
          <cell r="Q84">
            <v>-0.09900638768316058</v>
          </cell>
          <cell r="R84">
            <v>0.8663668903032121</v>
          </cell>
          <cell r="S84">
            <v>-1.720590381725427</v>
          </cell>
          <cell r="T84">
            <v>1</v>
          </cell>
          <cell r="U84">
            <v>0</v>
          </cell>
          <cell r="V84">
            <v>0</v>
          </cell>
          <cell r="W84">
            <v>0</v>
          </cell>
          <cell r="X84">
            <v>0</v>
          </cell>
          <cell r="Y84">
            <v>0</v>
          </cell>
          <cell r="Z84">
            <v>0</v>
          </cell>
        </row>
        <row r="85">
          <cell r="A85">
            <v>20</v>
          </cell>
          <cell r="B85">
            <v>-4230.412663551492</v>
          </cell>
          <cell r="C85">
            <v>229173.37675369802</v>
          </cell>
          <cell r="D85">
            <v>-8564.793936439606</v>
          </cell>
          <cell r="E85">
            <v>498.5040548038702</v>
          </cell>
          <cell r="F85">
            <v>-32.70700153090782</v>
          </cell>
          <cell r="G85">
            <v>0.01128336860982755</v>
          </cell>
          <cell r="H85">
            <v>0.8402567537601852</v>
          </cell>
          <cell r="I85">
            <v>-0.22949418880212333</v>
          </cell>
          <cell r="J85">
            <v>0.2536654184380062</v>
          </cell>
          <cell r="K85">
            <v>-0.006164025553987652</v>
          </cell>
          <cell r="L85">
            <v>0.00103913950961419</v>
          </cell>
          <cell r="M85">
            <v>-0.00042886026402304484</v>
          </cell>
          <cell r="N85">
            <v>0.0011852962093721268</v>
          </cell>
          <cell r="O85">
            <v>-0.0009483574077839912</v>
          </cell>
          <cell r="P85">
            <v>-0.0016522977580345787</v>
          </cell>
          <cell r="Q85">
            <v>-0.009521503711950667</v>
          </cell>
          <cell r="R85">
            <v>-0.07307269849315079</v>
          </cell>
          <cell r="S85">
            <v>0.7864510421757123</v>
          </cell>
          <cell r="T85">
            <v>-1.6758214993422487</v>
          </cell>
          <cell r="U85">
            <v>1</v>
          </cell>
          <cell r="V85">
            <v>0</v>
          </cell>
          <cell r="W85">
            <v>0</v>
          </cell>
          <cell r="X85">
            <v>0</v>
          </cell>
          <cell r="Y85">
            <v>0</v>
          </cell>
          <cell r="Z85">
            <v>0</v>
          </cell>
        </row>
        <row r="86">
          <cell r="A86">
            <v>21</v>
          </cell>
          <cell r="B86">
            <v>445.62195992053483</v>
          </cell>
          <cell r="C86">
            <v>-76424.4818334793</v>
          </cell>
          <cell r="D86">
            <v>4099.857624621464</v>
          </cell>
          <cell r="E86">
            <v>-171.10969983943306</v>
          </cell>
          <cell r="F86">
            <v>-1.6069813861269524</v>
          </cell>
          <cell r="G86">
            <v>0.18932898117533065</v>
          </cell>
          <cell r="H86">
            <v>0.5501699943415649</v>
          </cell>
          <cell r="I86">
            <v>-0.21286246404886283</v>
          </cell>
          <cell r="J86">
            <v>0.2024737361786367</v>
          </cell>
          <cell r="K86">
            <v>-0.0050118598055038715</v>
          </cell>
          <cell r="L86">
            <v>0.0008326216895994135</v>
          </cell>
          <cell r="M86">
            <v>-0.00036995790089158515</v>
          </cell>
          <cell r="N86">
            <v>0.0010327943250298106</v>
          </cell>
          <cell r="O86">
            <v>-0.0005497409650251755</v>
          </cell>
          <cell r="P86">
            <v>-0.0002586524560400393</v>
          </cell>
          <cell r="Q86">
            <v>-0.002257083566332378</v>
          </cell>
          <cell r="R86">
            <v>-0.008193567910225717</v>
          </cell>
          <cell r="S86">
            <v>-0.053035742525192574</v>
          </cell>
          <cell r="T86">
            <v>0.7284851968722231</v>
          </cell>
          <cell r="U86">
            <v>-1.6356424732527064</v>
          </cell>
          <cell r="V86">
            <v>1</v>
          </cell>
          <cell r="W86">
            <v>0</v>
          </cell>
          <cell r="X86">
            <v>0</v>
          </cell>
          <cell r="Y86">
            <v>0</v>
          </cell>
          <cell r="Z86">
            <v>0</v>
          </cell>
        </row>
        <row r="87">
          <cell r="A87">
            <v>22</v>
          </cell>
          <cell r="B87">
            <v>42.26392609177404</v>
          </cell>
          <cell r="C87">
            <v>1167.6597424587142</v>
          </cell>
          <cell r="D87">
            <v>-293.41010492064413</v>
          </cell>
          <cell r="E87">
            <v>3.288828618048196</v>
          </cell>
          <cell r="F87">
            <v>-0.1824068225865572</v>
          </cell>
          <cell r="G87">
            <v>0.19818602838794658</v>
          </cell>
          <cell r="H87">
            <v>0.4169258454734191</v>
          </cell>
          <cell r="I87">
            <v>-0.18533975535369102</v>
          </cell>
          <cell r="J87">
            <v>0.16659500251256157</v>
          </cell>
          <cell r="K87">
            <v>-0.004156515420385444</v>
          </cell>
          <cell r="L87">
            <v>0.0006861972790486019</v>
          </cell>
          <cell r="M87">
            <v>-0.0003140870042759053</v>
          </cell>
          <cell r="N87">
            <v>0.0008788310212154861</v>
          </cell>
          <cell r="O87">
            <v>-0.0003916705621788534</v>
          </cell>
          <cell r="P87">
            <v>5.395984839290629E-05</v>
          </cell>
          <cell r="Q87">
            <v>-0.0008511436411054549</v>
          </cell>
          <cell r="R87">
            <v>-0.002036754237903248</v>
          </cell>
          <cell r="S87">
            <v>-0.006759980433866866</v>
          </cell>
          <cell r="T87">
            <v>-0.04005915918499967</v>
          </cell>
          <cell r="U87">
            <v>0.6723220320196109</v>
          </cell>
          <cell r="V87">
            <v>-1.5867879857591605</v>
          </cell>
          <cell r="W87">
            <v>1</v>
          </cell>
          <cell r="X87">
            <v>0</v>
          </cell>
          <cell r="Y87">
            <v>0</v>
          </cell>
          <cell r="Z87">
            <v>0</v>
          </cell>
        </row>
        <row r="88">
          <cell r="A88">
            <v>23</v>
          </cell>
          <cell r="B88">
            <v>8.776086184809785</v>
          </cell>
          <cell r="C88">
            <v>368.1625747902034</v>
          </cell>
          <cell r="D88">
            <v>-37.22887639302569</v>
          </cell>
          <cell r="E88">
            <v>0.8922384389623549</v>
          </cell>
          <cell r="F88">
            <v>0.030757512805570594</v>
          </cell>
          <cell r="G88">
            <v>0.17848716046408758</v>
          </cell>
          <cell r="H88">
            <v>0.3390788377449984</v>
          </cell>
          <cell r="I88">
            <v>-0.15967801658761732</v>
          </cell>
          <cell r="J88">
            <v>0.14030501942003545</v>
          </cell>
          <cell r="K88">
            <v>-0.0035131110709581783</v>
          </cell>
          <cell r="L88">
            <v>0.0005783376227502039</v>
          </cell>
          <cell r="M88">
            <v>-0.00026796673151979793</v>
          </cell>
          <cell r="N88">
            <v>0.0007498328401903416</v>
          </cell>
          <cell r="O88">
            <v>-0.00030986695451236905</v>
          </cell>
          <cell r="P88">
            <v>0.00012381302380555306</v>
          </cell>
          <cell r="Q88">
            <v>-0.00046131509313614247</v>
          </cell>
          <cell r="R88">
            <v>-0.0008105252067579552</v>
          </cell>
          <cell r="S88">
            <v>-0.0019697120610492427</v>
          </cell>
          <cell r="T88">
            <v>-0.005912295780587512</v>
          </cell>
          <cell r="U88">
            <v>-0.025884898161840607</v>
          </cell>
          <cell r="V88">
            <v>0.6129329392309537</v>
          </cell>
          <cell r="W88">
            <v>-1.5451942776879624</v>
          </cell>
          <cell r="X88">
            <v>1</v>
          </cell>
          <cell r="Y88">
            <v>0</v>
          </cell>
          <cell r="Z88">
            <v>0</v>
          </cell>
        </row>
        <row r="89">
          <cell r="A89">
            <v>24</v>
          </cell>
          <cell r="B89">
            <v>2.3421246691861057</v>
          </cell>
          <cell r="C89">
            <v>219.03109605266127</v>
          </cell>
          <cell r="D89">
            <v>-9.713104561830956</v>
          </cell>
          <cell r="E89">
            <v>0.48736756121668845</v>
          </cell>
          <cell r="F89">
            <v>0.06583914871157491</v>
          </cell>
          <cell r="G89">
            <v>0.14772515309021209</v>
          </cell>
          <cell r="H89">
            <v>0.27068090238021625</v>
          </cell>
          <cell r="I89">
            <v>-0.1307796330531906</v>
          </cell>
          <cell r="J89">
            <v>0.11387799185152925</v>
          </cell>
          <cell r="K89">
            <v>-0.002856525737206063</v>
          </cell>
          <cell r="L89">
            <v>0.0004695860552963704</v>
          </cell>
          <cell r="M89">
            <v>-0.00021862738689185486</v>
          </cell>
          <cell r="N89">
            <v>0.0006112610467740036</v>
          </cell>
          <cell r="O89">
            <v>-0.0002443877443714806</v>
          </cell>
          <cell r="P89">
            <v>0.00012431194240772754</v>
          </cell>
          <cell r="Q89">
            <v>-0.0003005691412807965</v>
          </cell>
          <cell r="R89">
            <v>-0.00043376400042985933</v>
          </cell>
          <cell r="S89">
            <v>-0.0008878577591318431</v>
          </cell>
          <cell r="T89">
            <v>-0.0018574394678876071</v>
          </cell>
          <cell r="U89">
            <v>-0.004242400562511073</v>
          </cell>
          <cell r="V89">
            <v>-0.015137941065914108</v>
          </cell>
          <cell r="W89">
            <v>0.5478597048817933</v>
          </cell>
          <cell r="X89">
            <v>-1.4778203668731797</v>
          </cell>
          <cell r="Y89">
            <v>1</v>
          </cell>
          <cell r="Z89">
            <v>0</v>
          </cell>
        </row>
        <row r="90">
          <cell r="A90">
            <v>25</v>
          </cell>
          <cell r="B90">
            <v>1.3684115404571457</v>
          </cell>
          <cell r="C90">
            <v>1065.277838371152</v>
          </cell>
          <cell r="D90">
            <v>-16.76838220717218</v>
          </cell>
          <cell r="E90">
            <v>2.252456178519541</v>
          </cell>
          <cell r="F90">
            <v>0.4994058008885217</v>
          </cell>
          <cell r="G90">
            <v>0.8794065371699693</v>
          </cell>
          <cell r="H90">
            <v>1.5895209224215692</v>
          </cell>
          <cell r="I90">
            <v>-0.787870478112064</v>
          </cell>
          <cell r="J90">
            <v>0.6836164651618228</v>
          </cell>
          <cell r="K90">
            <v>-0.017190905402064666</v>
          </cell>
          <cell r="L90">
            <v>0.0028206553310114193</v>
          </cell>
          <cell r="M90">
            <v>-0.0013148956999951636</v>
          </cell>
          <cell r="N90">
            <v>0.0036602293960809216</v>
          </cell>
          <cell r="O90">
            <v>-0.0014210745172364859</v>
          </cell>
          <cell r="P90">
            <v>0.0008270239354331014</v>
          </cell>
          <cell r="Q90">
            <v>-0.0014902230041656719</v>
          </cell>
          <cell r="R90">
            <v>-0.0017973659300395313</v>
          </cell>
          <cell r="S90">
            <v>-0.0032073676710446257</v>
          </cell>
          <cell r="T90">
            <v>-0.004834803096499586</v>
          </cell>
          <cell r="U90">
            <v>-0.006552260042552938</v>
          </cell>
          <cell r="V90">
            <v>-0.01100701240587909</v>
          </cell>
          <cell r="W90">
            <v>-0.0026654271938309085</v>
          </cell>
          <cell r="X90">
            <v>0.47782036687317975</v>
          </cell>
          <cell r="Y90">
            <v>-1</v>
          </cell>
          <cell r="Z90">
            <v>1</v>
          </cell>
        </row>
        <row r="95">
          <cell r="B95">
            <v>0.15555526742795467</v>
          </cell>
          <cell r="C95">
            <v>0.1343891617241231</v>
          </cell>
          <cell r="D95">
            <v>0.12654489091111765</v>
          </cell>
          <cell r="E95">
            <v>0.1337695915572515</v>
          </cell>
          <cell r="F95">
            <v>0.18520949717973306</v>
          </cell>
          <cell r="G95">
            <v>0.2866462733448111</v>
          </cell>
          <cell r="H95">
            <v>0.3908355887004328</v>
          </cell>
          <cell r="I95">
            <v>0.5045149246949312</v>
          </cell>
          <cell r="J95">
            <v>0.5868485519920615</v>
          </cell>
          <cell r="K95">
            <v>0.6216657445309487</v>
          </cell>
          <cell r="L95">
            <v>0.5960514407525423</v>
          </cell>
          <cell r="M95">
            <v>0.5312712162351333</v>
          </cell>
          <cell r="N95">
            <v>0.45512565654420806</v>
          </cell>
          <cell r="O95">
            <v>0.3782598630142258</v>
          </cell>
          <cell r="P95">
            <v>0.3088414267499557</v>
          </cell>
          <cell r="Q95">
            <v>0.250728975100767</v>
          </cell>
          <cell r="R95">
            <v>0.20128759367816113</v>
          </cell>
          <cell r="S95">
            <v>0.16109932194009477</v>
          </cell>
          <cell r="T95">
            <v>0.12864580050261482</v>
          </cell>
          <cell r="U95">
            <v>0.10273637028172189</v>
          </cell>
          <cell r="V95">
            <v>0.08201828819169883</v>
          </cell>
          <cell r="W95">
            <v>0.06546835110762271</v>
          </cell>
          <cell r="X95">
            <v>0.05225435346046229</v>
          </cell>
          <cell r="Y95">
            <v>0.041886330202148214</v>
          </cell>
          <cell r="Z95">
            <v>0</v>
          </cell>
        </row>
        <row r="100">
          <cell r="B100">
            <v>1.0000000000000202</v>
          </cell>
          <cell r="C100">
            <v>0</v>
          </cell>
          <cell r="D100">
            <v>-1.1969409986912352E-16</v>
          </cell>
          <cell r="E100">
            <v>-1.3465586235276395E-16</v>
          </cell>
          <cell r="F100">
            <v>-2.445313055919984E-16</v>
          </cell>
          <cell r="G100">
            <v>-2.9841702828698467E-16</v>
          </cell>
          <cell r="H100">
            <v>-4.330728906397486E-16</v>
          </cell>
          <cell r="I100">
            <v>3.9169426627093053E-16</v>
          </cell>
          <cell r="J100">
            <v>-2.2442643725460655E-16</v>
          </cell>
          <cell r="K100">
            <v>7.276325895364198E-17</v>
          </cell>
          <cell r="L100">
            <v>5.844438470172046E-18</v>
          </cell>
          <cell r="M100">
            <v>4.1378624368818087E-17</v>
          </cell>
          <cell r="N100">
            <v>-6.317837986255982E-17</v>
          </cell>
          <cell r="O100">
            <v>5.08466146904968E-18</v>
          </cell>
          <cell r="P100">
            <v>-8.047791773426908E-17</v>
          </cell>
          <cell r="Q100">
            <v>-8.941990859363231E-17</v>
          </cell>
          <cell r="R100">
            <v>3.8456405133732064E-17</v>
          </cell>
          <cell r="S100">
            <v>3.810573882552174E-17</v>
          </cell>
          <cell r="T100">
            <v>-6.387971247898046E-17</v>
          </cell>
          <cell r="U100">
            <v>-2.015046982071277E-18</v>
          </cell>
        </row>
        <row r="101">
          <cell r="B101">
            <v>3.335571159677796</v>
          </cell>
          <cell r="C101">
            <v>1.0000000000000204</v>
          </cell>
          <cell r="D101">
            <v>1.8497225424962473E-15</v>
          </cell>
          <cell r="E101">
            <v>-3.4925312639909346E-16</v>
          </cell>
          <cell r="F101">
            <v>-3.4210724716700604E-16</v>
          </cell>
          <cell r="G101">
            <v>-5.742037523987934E-16</v>
          </cell>
          <cell r="H101">
            <v>-1.3021609409916528E-16</v>
          </cell>
          <cell r="I101">
            <v>1.4990856764770678E-16</v>
          </cell>
          <cell r="J101">
            <v>-3.0598544723370866E-16</v>
          </cell>
          <cell r="K101">
            <v>2.4995087689693067E-16</v>
          </cell>
          <cell r="L101">
            <v>6.211682881611253E-17</v>
          </cell>
          <cell r="M101">
            <v>1.5899237077558668E-16</v>
          </cell>
          <cell r="N101">
            <v>-1.8303570720917563E-16</v>
          </cell>
          <cell r="O101">
            <v>4.8668394249751466E-17</v>
          </cell>
          <cell r="P101">
            <v>-2.26299944236202E-16</v>
          </cell>
          <cell r="Q101">
            <v>-2.669378296957512E-16</v>
          </cell>
          <cell r="R101">
            <v>1.4137550665717464E-16</v>
          </cell>
          <cell r="S101">
            <v>1.1702237777132757E-16</v>
          </cell>
          <cell r="T101">
            <v>-1.8034223394370914E-16</v>
          </cell>
          <cell r="U101">
            <v>7.560656904277466E-18</v>
          </cell>
        </row>
        <row r="102">
          <cell r="B102">
            <v>15.738034858571718</v>
          </cell>
          <cell r="C102">
            <v>6.173823423285609</v>
          </cell>
          <cell r="D102">
            <v>1.0000000000000109</v>
          </cell>
          <cell r="E102">
            <v>-7.734144487730337E-16</v>
          </cell>
          <cell r="F102">
            <v>6.270927963024597E-16</v>
          </cell>
          <cell r="G102">
            <v>-9.48715389557585E-16</v>
          </cell>
          <cell r="H102">
            <v>4.477537579659608E-15</v>
          </cell>
          <cell r="I102">
            <v>-4.574451920906353E-15</v>
          </cell>
          <cell r="J102">
            <v>4.413403089128675E-16</v>
          </cell>
          <cell r="K102">
            <v>1.1342303417970626E-15</v>
          </cell>
          <cell r="L102">
            <v>3.3302428046062447E-16</v>
          </cell>
          <cell r="M102">
            <v>7.788777572256687E-16</v>
          </cell>
          <cell r="N102">
            <v>-8.099948618906772E-16</v>
          </cell>
          <cell r="O102">
            <v>3.1330886300111533E-16</v>
          </cell>
          <cell r="P102">
            <v>-9.746067209200728E-16</v>
          </cell>
          <cell r="Q102">
            <v>-1.2059659571316622E-15</v>
          </cell>
          <cell r="R102">
            <v>7.242446726993181E-16</v>
          </cell>
          <cell r="S102">
            <v>5.864742856328687E-16</v>
          </cell>
          <cell r="T102">
            <v>-7.871914874796787E-16</v>
          </cell>
          <cell r="U102">
            <v>9.38263842952544E-17</v>
          </cell>
        </row>
        <row r="103">
          <cell r="B103">
            <v>-1806.3408711780278</v>
          </cell>
          <cell r="C103">
            <v>-555.3087922788644</v>
          </cell>
          <cell r="D103">
            <v>-7.704428371726823</v>
          </cell>
          <cell r="E103">
            <v>1.0000000000001825</v>
          </cell>
          <cell r="F103">
            <v>1.6311839402342174E-13</v>
          </cell>
          <cell r="G103">
            <v>2.850830647840536E-13</v>
          </cell>
          <cell r="H103">
            <v>2.6936982499280654E-14</v>
          </cell>
          <cell r="I103">
            <v>-2.6188732985411748E-14</v>
          </cell>
          <cell r="J103">
            <v>1.4590865520443688E-13</v>
          </cell>
          <cell r="K103">
            <v>-1.3468491249640327E-13</v>
          </cell>
          <cell r="L103">
            <v>-3.367122812410082E-14</v>
          </cell>
          <cell r="M103">
            <v>-8.604869409492432E-14</v>
          </cell>
          <cell r="N103">
            <v>9.876893583069574E-14</v>
          </cell>
          <cell r="O103">
            <v>-2.6936982499280654E-14</v>
          </cell>
          <cell r="P103">
            <v>1.2196467076063185E-13</v>
          </cell>
          <cell r="Q103">
            <v>1.4441215617669907E-13</v>
          </cell>
          <cell r="R103">
            <v>-7.706969992849743E-14</v>
          </cell>
          <cell r="S103">
            <v>-6.36012086788571E-14</v>
          </cell>
          <cell r="T103">
            <v>9.727243680295793E-14</v>
          </cell>
          <cell r="U103">
            <v>-4.489497083213443E-15</v>
          </cell>
        </row>
        <row r="104">
          <cell r="B104">
            <v>0.5380388237564504</v>
          </cell>
          <cell r="C104">
            <v>-0.3263361324160825</v>
          </cell>
          <cell r="D104">
            <v>0.9319645966222022</v>
          </cell>
          <cell r="E104">
            <v>-1.4535519419208853</v>
          </cell>
          <cell r="F104">
            <v>0.9999999999999994</v>
          </cell>
          <cell r="G104">
            <v>1.3020913179390694E-14</v>
          </cell>
          <cell r="H104">
            <v>-6.582856876834816E-15</v>
          </cell>
          <cell r="I104">
            <v>-4.772849698348085E-15</v>
          </cell>
          <cell r="J104">
            <v>1.060942669236068E-15</v>
          </cell>
          <cell r="K104">
            <v>-3.870630735533162E-16</v>
          </cell>
          <cell r="L104">
            <v>-3.7035531498266944E-16</v>
          </cell>
          <cell r="M104">
            <v>-4.399709756936975E-16</v>
          </cell>
          <cell r="N104">
            <v>-2.896011485578768E-16</v>
          </cell>
          <cell r="O104">
            <v>-3.090935335569647E-16</v>
          </cell>
          <cell r="P104">
            <v>-4.706018664065499E-16</v>
          </cell>
          <cell r="Q104">
            <v>-6.293255728276939E-16</v>
          </cell>
          <cell r="R104">
            <v>4.176939642661685E-17</v>
          </cell>
          <cell r="S104">
            <v>3.8984769998175727E-17</v>
          </cell>
          <cell r="T104">
            <v>-3.118781599854058E-16</v>
          </cell>
          <cell r="U104">
            <v>-1.2809281570829167E-16</v>
          </cell>
        </row>
        <row r="105">
          <cell r="B105">
            <v>3.0521430849756325E-05</v>
          </cell>
          <cell r="C105">
            <v>-0.0007196088573494116</v>
          </cell>
          <cell r="D105">
            <v>-0.003114976293055878</v>
          </cell>
          <cell r="E105">
            <v>0.2465494076714166</v>
          </cell>
          <cell r="F105">
            <v>-0.6142277308724211</v>
          </cell>
          <cell r="G105">
            <v>0.9999999999999915</v>
          </cell>
          <cell r="H105">
            <v>3.677394980445737E-15</v>
          </cell>
          <cell r="I105">
            <v>1.8046959719114923E-15</v>
          </cell>
          <cell r="J105">
            <v>-1.0705308090880439E-17</v>
          </cell>
          <cell r="K105">
            <v>5.097186465998755E-17</v>
          </cell>
          <cell r="L105">
            <v>9.087346754417827E-17</v>
          </cell>
          <cell r="M105">
            <v>3.406234392552867E-17</v>
          </cell>
          <cell r="N105">
            <v>7.90732983985487E-18</v>
          </cell>
          <cell r="O105">
            <v>4.939039869201657E-17</v>
          </cell>
          <cell r="P105">
            <v>2.7249875140422936E-17</v>
          </cell>
          <cell r="Q105">
            <v>8.868374543468001E-17</v>
          </cell>
          <cell r="R105">
            <v>-1.3381635113600549E-18</v>
          </cell>
          <cell r="S105">
            <v>3.150766813111402E-17</v>
          </cell>
          <cell r="T105">
            <v>4.926874746371111E-17</v>
          </cell>
          <cell r="U105">
            <v>1.3564111956058738E-17</v>
          </cell>
        </row>
        <row r="106">
          <cell r="B106">
            <v>-0.00022336973753087</v>
          </cell>
          <cell r="C106">
            <v>-0.0013493728553294563</v>
          </cell>
          <cell r="D106">
            <v>-0.0038629292749733845</v>
          </cell>
          <cell r="E106">
            <v>-0.0295633476804967</v>
          </cell>
          <cell r="F106">
            <v>0.15967754243363272</v>
          </cell>
          <cell r="G106">
            <v>-1.1321433478017957</v>
          </cell>
          <cell r="H106">
            <v>1.0000000000000002</v>
          </cell>
          <cell r="I106">
            <v>-2.7638218782413096E-15</v>
          </cell>
          <cell r="J106">
            <v>1.0257683402589562E-15</v>
          </cell>
          <cell r="K106">
            <v>3.126657158275133E-17</v>
          </cell>
          <cell r="L106">
            <v>7.663375387929248E-19</v>
          </cell>
          <cell r="M106">
            <v>7.086067775371911E-17</v>
          </cell>
          <cell r="N106">
            <v>1.4448017064709274E-16</v>
          </cell>
          <cell r="O106">
            <v>3.116439324424561E-18</v>
          </cell>
          <cell r="P106">
            <v>1.322698591956588E-16</v>
          </cell>
          <cell r="Q106">
            <v>2.78435972428096E-17</v>
          </cell>
          <cell r="R106">
            <v>-2.6872903027005228E-17</v>
          </cell>
          <cell r="S106">
            <v>-3.709073687757756E-17</v>
          </cell>
          <cell r="T106">
            <v>-1.76513079768637E-17</v>
          </cell>
          <cell r="U106">
            <v>3.374439629151512E-17</v>
          </cell>
        </row>
        <row r="107">
          <cell r="B107">
            <v>-0.012324332542587515</v>
          </cell>
          <cell r="C107">
            <v>-0.0105959703369941</v>
          </cell>
          <cell r="D107">
            <v>-0.009985325155211828</v>
          </cell>
          <cell r="E107">
            <v>-0.011306329574318501</v>
          </cell>
          <cell r="F107">
            <v>-0.0011017043064977953</v>
          </cell>
          <cell r="G107">
            <v>0.47422752259460316</v>
          </cell>
          <cell r="H107">
            <v>-1.275220276986762</v>
          </cell>
          <cell r="I107">
            <v>0.9999999999999983</v>
          </cell>
          <cell r="J107">
            <v>2.1364302252058868E-16</v>
          </cell>
          <cell r="K107">
            <v>-1.1873604338042935E-16</v>
          </cell>
          <cell r="L107">
            <v>-4.4262638410679644E-17</v>
          </cell>
          <cell r="M107">
            <v>-3.1696293464633953E-17</v>
          </cell>
          <cell r="N107">
            <v>-8.05519385323122E-17</v>
          </cell>
          <cell r="O107">
            <v>4.016986020147296E-17</v>
          </cell>
          <cell r="P107">
            <v>-1.497805240191526E-16</v>
          </cell>
          <cell r="Q107">
            <v>-5.431268267995383E-17</v>
          </cell>
          <cell r="R107">
            <v>9.398231443363486E-17</v>
          </cell>
          <cell r="S107">
            <v>-4.583911594311481E-17</v>
          </cell>
          <cell r="T107">
            <v>-1.711387628960867E-17</v>
          </cell>
          <cell r="U107">
            <v>-1.0178890990675131E-17</v>
          </cell>
        </row>
        <row r="108">
          <cell r="B108">
            <v>0.01567387351993509</v>
          </cell>
          <cell r="C108">
            <v>0.013584430550716217</v>
          </cell>
          <cell r="D108">
            <v>0.012871230648062134</v>
          </cell>
          <cell r="E108">
            <v>0.014486804654542778</v>
          </cell>
          <cell r="F108">
            <v>-0.008319437717229589</v>
          </cell>
          <cell r="G108">
            <v>-0.2711497902427567</v>
          </cell>
          <cell r="H108">
            <v>1.4387487694004328</v>
          </cell>
          <cell r="I108">
            <v>-2.551812986491891</v>
          </cell>
          <cell r="J108">
            <v>0.9999999999999997</v>
          </cell>
          <cell r="K108">
            <v>5.259663240543118E-16</v>
          </cell>
          <cell r="L108">
            <v>-1.0535925751416694E-17</v>
          </cell>
          <cell r="M108">
            <v>1.270074725701413E-16</v>
          </cell>
          <cell r="N108">
            <v>-2.0566957030281912E-16</v>
          </cell>
          <cell r="O108">
            <v>-3.0376664704741E-16</v>
          </cell>
          <cell r="P108">
            <v>3.195820629455979E-16</v>
          </cell>
          <cell r="Q108">
            <v>5.1526901650801564E-17</v>
          </cell>
          <cell r="R108">
            <v>-1.7263241143677945E-16</v>
          </cell>
          <cell r="S108">
            <v>2.676862886207861E-16</v>
          </cell>
          <cell r="T108">
            <v>6.203977286009262E-17</v>
          </cell>
          <cell r="U108">
            <v>-1.4315717932915092E-16</v>
          </cell>
        </row>
        <row r="109">
          <cell r="B109">
            <v>-0.05040768172260037</v>
          </cell>
          <cell r="C109">
            <v>-0.04372465808468576</v>
          </cell>
          <cell r="D109">
            <v>-0.04135787294724196</v>
          </cell>
          <cell r="E109">
            <v>-0.045703262993371734</v>
          </cell>
          <cell r="F109">
            <v>0.022880230448856682</v>
          </cell>
          <cell r="G109">
            <v>0.6662431531595552</v>
          </cell>
          <cell r="H109">
            <v>-4.768248115813965</v>
          </cell>
          <cell r="I109">
            <v>11.44146732211982</v>
          </cell>
          <cell r="J109">
            <v>-6.850351476189658</v>
          </cell>
          <cell r="K109">
            <v>0.999999999999997</v>
          </cell>
          <cell r="L109">
            <v>9.482232504959643E-17</v>
          </cell>
          <cell r="M109">
            <v>-1.4309550871120916E-15</v>
          </cell>
          <cell r="N109">
            <v>1.6809412167883004E-15</v>
          </cell>
          <cell r="O109">
            <v>1.8662757612034207E-15</v>
          </cell>
          <cell r="P109">
            <v>-1.7111119565768083E-15</v>
          </cell>
          <cell r="Q109">
            <v>-4.310105684072565E-17</v>
          </cell>
          <cell r="R109">
            <v>6.508259582949573E-16</v>
          </cell>
          <cell r="S109">
            <v>-1.624909842895357E-15</v>
          </cell>
          <cell r="T109">
            <v>-2.715366580965716E-16</v>
          </cell>
          <cell r="U109">
            <v>1.060285998281851E-15</v>
          </cell>
        </row>
        <row r="110">
          <cell r="B110">
            <v>-3.3964202377842563</v>
          </cell>
          <cell r="C110">
            <v>-2.9444240379571407</v>
          </cell>
          <cell r="D110">
            <v>-2.788635108755636</v>
          </cell>
          <cell r="E110">
            <v>-3.1230644478480465</v>
          </cell>
          <cell r="F110">
            <v>1.7578743931948415</v>
          </cell>
          <cell r="G110">
            <v>54.59034335855545</v>
          </cell>
          <cell r="H110">
            <v>-313.01349770001696</v>
          </cell>
          <cell r="I110">
            <v>601.9195537932038</v>
          </cell>
          <cell r="J110">
            <v>-267.11593746994237</v>
          </cell>
          <cell r="K110">
            <v>9.81819799836695</v>
          </cell>
          <cell r="L110">
            <v>1.0000000000000038</v>
          </cell>
          <cell r="M110">
            <v>-3.909227259118898E-14</v>
          </cell>
          <cell r="N110">
            <v>5.863840888678347E-14</v>
          </cell>
          <cell r="O110">
            <v>7.818454518237796E-14</v>
          </cell>
          <cell r="P110">
            <v>-7.818454518237796E-14</v>
          </cell>
          <cell r="Q110">
            <v>-9.773068147797245E-15</v>
          </cell>
          <cell r="R110">
            <v>3.909227259118898E-14</v>
          </cell>
          <cell r="S110">
            <v>-6.841147703458071E-14</v>
          </cell>
          <cell r="T110">
            <v>-1.4659602221695868E-14</v>
          </cell>
          <cell r="U110">
            <v>3.909227259118898E-14</v>
          </cell>
        </row>
        <row r="111">
          <cell r="B111">
            <v>5.058560738123662</v>
          </cell>
          <cell r="C111">
            <v>4.3693354008446965</v>
          </cell>
          <cell r="D111">
            <v>4.139949439938211</v>
          </cell>
          <cell r="E111">
            <v>4.761856796508359</v>
          </cell>
          <cell r="F111">
            <v>-1.8176286834097188</v>
          </cell>
          <cell r="G111">
            <v>-144.52542615235757</v>
          </cell>
          <cell r="H111">
            <v>485.1518067592693</v>
          </cell>
          <cell r="I111">
            <v>-509.7051257335218</v>
          </cell>
          <cell r="J111">
            <v>58.40444220953856</v>
          </cell>
          <cell r="K111">
            <v>11.558518968479284</v>
          </cell>
          <cell r="L111">
            <v>3.6719222606925173</v>
          </cell>
          <cell r="M111">
            <v>1.0000000000000084</v>
          </cell>
          <cell r="N111">
            <v>1.0702324964137907E-14</v>
          </cell>
          <cell r="O111">
            <v>-3.210697489241373E-14</v>
          </cell>
          <cell r="P111">
            <v>6.421394978482745E-14</v>
          </cell>
          <cell r="Q111">
            <v>2.1404649928275815E-14</v>
          </cell>
          <cell r="R111">
            <v>-4.280929985655163E-14</v>
          </cell>
          <cell r="S111">
            <v>3.210697489241373E-14</v>
          </cell>
          <cell r="T111">
            <v>1.0702324964137907E-14</v>
          </cell>
          <cell r="U111">
            <v>-5.351162482068954E-15</v>
          </cell>
        </row>
        <row r="112">
          <cell r="B112">
            <v>-2.3786661393892863</v>
          </cell>
          <cell r="C112">
            <v>-1.9796614348966923</v>
          </cell>
          <cell r="D112">
            <v>-1.7504220596850553</v>
          </cell>
          <cell r="E112">
            <v>-1.225510447679509</v>
          </cell>
          <cell r="F112">
            <v>-8.553630400744849</v>
          </cell>
          <cell r="G112">
            <v>195.10515262297332</v>
          </cell>
          <cell r="H112">
            <v>-340.3157845528454</v>
          </cell>
          <cell r="I112">
            <v>131.72085643565273</v>
          </cell>
          <cell r="J112">
            <v>24.417745242356464</v>
          </cell>
          <cell r="K112">
            <v>10.127516574608514</v>
          </cell>
          <cell r="L112">
            <v>5.199230602542579</v>
          </cell>
          <cell r="M112">
            <v>2.6185333301767675</v>
          </cell>
          <cell r="N112">
            <v>0.9999999999999631</v>
          </cell>
          <cell r="O112">
            <v>0</v>
          </cell>
          <cell r="P112">
            <v>-3.851129470688268E-14</v>
          </cell>
          <cell r="Q112">
            <v>-1.2837098235627559E-14</v>
          </cell>
          <cell r="R112">
            <v>1.7116130980836745E-14</v>
          </cell>
          <cell r="S112">
            <v>0</v>
          </cell>
          <cell r="T112">
            <v>0</v>
          </cell>
          <cell r="U112">
            <v>-8.558065490418372E-15</v>
          </cell>
        </row>
        <row r="113">
          <cell r="B113">
            <v>-1.2854924513886428</v>
          </cell>
          <cell r="C113">
            <v>-1.9686568719510393</v>
          </cell>
          <cell r="D113">
            <v>-3.8691389826646336</v>
          </cell>
          <cell r="E113">
            <v>-25.978151131271265</v>
          </cell>
          <cell r="F113">
            <v>123.34391555507517</v>
          </cell>
          <cell r="G113">
            <v>-728.6693931855172</v>
          </cell>
          <cell r="H113">
            <v>545.8669870258489</v>
          </cell>
          <cell r="I113">
            <v>34.35120997053562</v>
          </cell>
          <cell r="J113">
            <v>14.413393518262465</v>
          </cell>
          <cell r="K113">
            <v>8.443713250348594</v>
          </cell>
          <cell r="L113">
            <v>5.613561140072633</v>
          </cell>
          <cell r="M113">
            <v>3.7771714410313875</v>
          </cell>
          <cell r="N113">
            <v>2.350700332300318</v>
          </cell>
          <cell r="O113">
            <v>0.9999999999999996</v>
          </cell>
          <cell r="P113">
            <v>7.563551923695539E-14</v>
          </cell>
          <cell r="Q113">
            <v>1.2605919872825897E-14</v>
          </cell>
          <cell r="R113">
            <v>-1.2605919872825897E-14</v>
          </cell>
          <cell r="S113">
            <v>-2.5211839745651795E-14</v>
          </cell>
          <cell r="T113">
            <v>-1.2605919872825897E-14</v>
          </cell>
          <cell r="U113">
            <v>1.8908879809238847E-14</v>
          </cell>
        </row>
        <row r="114">
          <cell r="B114">
            <v>-0.9002717699724813</v>
          </cell>
          <cell r="C114">
            <v>-1.0924554589925248</v>
          </cell>
          <cell r="D114">
            <v>-2.011800833127153</v>
          </cell>
          <cell r="E114">
            <v>-43.45312612830901</v>
          </cell>
          <cell r="F114">
            <v>127.32722398725305</v>
          </cell>
          <cell r="G114">
            <v>-287.8708755715371</v>
          </cell>
          <cell r="H114">
            <v>43.39080589319305</v>
          </cell>
          <cell r="I114">
            <v>15.3770812590094</v>
          </cell>
          <cell r="J114">
            <v>9.025195096053423</v>
          </cell>
          <cell r="K114">
            <v>6.3951712513436485</v>
          </cell>
          <cell r="L114">
            <v>4.933532486439252</v>
          </cell>
          <cell r="M114">
            <v>3.881872547931042</v>
          </cell>
          <cell r="N114">
            <v>2.9840848588126643</v>
          </cell>
          <cell r="O114">
            <v>1.9729624798211083</v>
          </cell>
          <cell r="P114">
            <v>1.0000000000000053</v>
          </cell>
          <cell r="Q114">
            <v>-1.2956833977992528E-14</v>
          </cell>
          <cell r="R114">
            <v>0</v>
          </cell>
          <cell r="S114">
            <v>-9.717625483494395E-15</v>
          </cell>
          <cell r="T114">
            <v>-9.717625483494395E-15</v>
          </cell>
          <cell r="U114">
            <v>0</v>
          </cell>
        </row>
        <row r="115">
          <cell r="B115">
            <v>-0.7673388599376477</v>
          </cell>
          <cell r="C115">
            <v>-1.6801011353251474</v>
          </cell>
          <cell r="D115">
            <v>-7.1512760455783875</v>
          </cell>
          <cell r="E115">
            <v>54.29438747600698</v>
          </cell>
          <cell r="F115">
            <v>-98.10389215656242</v>
          </cell>
          <cell r="G115">
            <v>85.44846175312045</v>
          </cell>
          <cell r="H115">
            <v>18.093798198579897</v>
          </cell>
          <cell r="I115">
            <v>9.79880071281092</v>
          </cell>
          <cell r="J115">
            <v>6.872946203632945</v>
          </cell>
          <cell r="K115">
            <v>5.446349971136433</v>
          </cell>
          <cell r="L115">
            <v>4.589982166704765</v>
          </cell>
          <cell r="M115">
            <v>3.9488046056545687</v>
          </cell>
          <cell r="N115">
            <v>3.3836385451573423</v>
          </cell>
          <cell r="O115">
            <v>2.692634742473436</v>
          </cell>
          <cell r="P115">
            <v>1.9691735905007515</v>
          </cell>
          <cell r="Q115">
            <v>1.000000000000022</v>
          </cell>
          <cell r="R115">
            <v>0</v>
          </cell>
          <cell r="S115">
            <v>2.519246944447702E-15</v>
          </cell>
          <cell r="T115">
            <v>1.0076987777790809E-14</v>
          </cell>
          <cell r="U115">
            <v>5.038493888895404E-15</v>
          </cell>
        </row>
        <row r="116">
          <cell r="B116">
            <v>-8.832275486237332</v>
          </cell>
          <cell r="C116">
            <v>7.48149878809586</v>
          </cell>
          <cell r="D116">
            <v>-60.12149442126678</v>
          </cell>
          <cell r="E116">
            <v>138.11368140650325</v>
          </cell>
          <cell r="F116">
            <v>-129.9093896244891</v>
          </cell>
          <cell r="G116">
            <v>22.179320687482022</v>
          </cell>
          <cell r="H116">
            <v>9.971198651575236</v>
          </cell>
          <cell r="I116">
            <v>6.683721078537921</v>
          </cell>
          <cell r="J116">
            <v>5.235418667562379</v>
          </cell>
          <cell r="K116">
            <v>4.46036370604875</v>
          </cell>
          <cell r="L116">
            <v>3.9793992566647667</v>
          </cell>
          <cell r="M116">
            <v>3.6191586510197062</v>
          </cell>
          <cell r="N116">
            <v>3.304203321098708</v>
          </cell>
          <cell r="O116">
            <v>2.9039152077487502</v>
          </cell>
          <cell r="P116">
            <v>2.474858776012636</v>
          </cell>
          <cell r="Q116">
            <v>1.8285044679798381</v>
          </cell>
          <cell r="R116">
            <v>0.999999999999999</v>
          </cell>
          <cell r="S116">
            <v>0</v>
          </cell>
          <cell r="T116">
            <v>2.634099157632491E-14</v>
          </cell>
          <cell r="U116">
            <v>1.3170495788162456E-14</v>
          </cell>
        </row>
        <row r="117">
          <cell r="B117">
            <v>2391.610832984749</v>
          </cell>
          <cell r="C117">
            <v>-225.34882714076588</v>
          </cell>
          <cell r="D117">
            <v>196.20678836943534</v>
          </cell>
          <cell r="E117">
            <v>-148.651898890078</v>
          </cell>
          <cell r="F117">
            <v>50.83691293567212</v>
          </cell>
          <cell r="G117">
            <v>11.085117076446188</v>
          </cell>
          <cell r="H117">
            <v>6.715203538058896</v>
          </cell>
          <cell r="I117">
            <v>5.091924022370087</v>
          </cell>
          <cell r="J117">
            <v>4.280175047058822</v>
          </cell>
          <cell r="K117">
            <v>3.8224025903156367</v>
          </cell>
          <cell r="L117">
            <v>3.536725033896414</v>
          </cell>
          <cell r="M117">
            <v>3.328679696766267</v>
          </cell>
          <cell r="N117">
            <v>3.1542682534151774</v>
          </cell>
          <cell r="O117">
            <v>2.930793413690259</v>
          </cell>
          <cell r="P117">
            <v>2.6953575741359947</v>
          </cell>
          <cell r="Q117">
            <v>2.3123858785404994</v>
          </cell>
          <cell r="R117">
            <v>1.7800222145248028</v>
          </cell>
          <cell r="S117">
            <v>1.0000000000001001</v>
          </cell>
          <cell r="T117">
            <v>-1.8569100290029663E-13</v>
          </cell>
          <cell r="U117">
            <v>-1.5474250241691385E-14</v>
          </cell>
        </row>
        <row r="118">
          <cell r="B118">
            <v>-162888.57061581223</v>
          </cell>
          <cell r="C118">
            <v>-60000.64339810438</v>
          </cell>
          <cell r="D118">
            <v>-7281.685700488576</v>
          </cell>
          <cell r="E118">
            <v>265.15198595042386</v>
          </cell>
          <cell r="F118">
            <v>15.4223201094763</v>
          </cell>
          <cell r="G118">
            <v>7.008762615593766</v>
          </cell>
          <cell r="H118">
            <v>4.9895015282935695</v>
          </cell>
          <cell r="I118">
            <v>4.091346280365869</v>
          </cell>
          <cell r="J118">
            <v>3.605503916173056</v>
          </cell>
          <cell r="K118">
            <v>3.323306038169337</v>
          </cell>
          <cell r="L118">
            <v>3.149002259481584</v>
          </cell>
          <cell r="M118">
            <v>3.028063374390231</v>
          </cell>
          <cell r="N118">
            <v>2.933979715176557</v>
          </cell>
          <cell r="O118">
            <v>2.815684931144299</v>
          </cell>
          <cell r="P118">
            <v>2.6984711004885416</v>
          </cell>
          <cell r="Q118">
            <v>2.493519559321666</v>
          </cell>
          <cell r="R118">
            <v>2.1963222112582512</v>
          </cell>
          <cell r="S118">
            <v>1.7205903817194697</v>
          </cell>
          <cell r="T118">
            <v>1.0000000000083724</v>
          </cell>
          <cell r="U118">
            <v>-7.773174197846643E-13</v>
          </cell>
        </row>
        <row r="119">
          <cell r="B119">
            <v>231.47111525591714</v>
          </cell>
          <cell r="C119">
            <v>144.54674757755274</v>
          </cell>
          <cell r="D119">
            <v>74.38789901385154</v>
          </cell>
          <cell r="E119">
            <v>25.744576299141368</v>
          </cell>
          <cell r="F119">
            <v>8.354035728741504</v>
          </cell>
          <cell r="G119">
            <v>5.06690909570204</v>
          </cell>
          <cell r="H119">
            <v>3.980046427978505</v>
          </cell>
          <cell r="I119">
            <v>3.4386261957993964</v>
          </cell>
          <cell r="J119">
            <v>3.1304058108498913</v>
          </cell>
          <cell r="K119">
            <v>2.9484122763597163</v>
          </cell>
          <cell r="L119">
            <v>2.8380418741029096</v>
          </cell>
          <cell r="M119">
            <v>2.766031574669806</v>
          </cell>
          <cell r="N119">
            <v>2.7157877147088625</v>
          </cell>
          <cell r="O119">
            <v>2.6557029394029343</v>
          </cell>
          <cell r="P119">
            <v>2.6036355128815036</v>
          </cell>
          <cell r="Q119">
            <v>2.5032506618235595</v>
          </cell>
          <cell r="R119">
            <v>2.3538163539060735</v>
          </cell>
          <cell r="S119">
            <v>2.096951311081255</v>
          </cell>
          <cell r="T119">
            <v>1.6758214993422438</v>
          </cell>
          <cell r="U119">
            <v>1.0000000000000067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ut ..."/>
      <sheetName val="Data_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112"/>
  <sheetViews>
    <sheetView workbookViewId="0" topLeftCell="A1">
      <selection activeCell="A1" sqref="A1"/>
    </sheetView>
  </sheetViews>
  <sheetFormatPr defaultColWidth="11.421875" defaultRowHeight="12.75"/>
  <cols>
    <col min="1" max="1" width="1.7109375" style="0" customWidth="1"/>
    <col min="2" max="12" width="9.140625" style="0" customWidth="1"/>
    <col min="13" max="13" width="1.7109375" style="0" customWidth="1"/>
    <col min="14" max="16384" width="9.140625" style="0" customWidth="1"/>
  </cols>
  <sheetData>
    <row r="1" ht="12.75">
      <c r="B1" s="143" t="s">
        <v>162</v>
      </c>
    </row>
    <row r="2" ht="12.75">
      <c r="B2" s="67" t="s">
        <v>73</v>
      </c>
    </row>
    <row r="56" ht="12.75">
      <c r="B56" s="143" t="s">
        <v>162</v>
      </c>
    </row>
    <row r="57" ht="12.75">
      <c r="B57" s="67" t="s">
        <v>73</v>
      </c>
    </row>
    <row r="111" ht="12.75">
      <c r="B111" s="143" t="s">
        <v>162</v>
      </c>
    </row>
    <row r="112" ht="12.75">
      <c r="B112" s="67" t="s">
        <v>73</v>
      </c>
    </row>
  </sheetData>
  <printOptions horizontalCentered="1"/>
  <pageMargins left="0.25" right="0.25" top="0.5" bottom="1" header="0" footer="0.5"/>
  <pageSetup horizontalDpi="300" verticalDpi="300" orientation="portrait" r:id="rId2"/>
  <headerFooter alignWithMargins="0">
    <oddFooter>&amp;L&amp;"Arial,Bold"&amp;8Moly-Cop Tools&amp;"Arial,Regular" / &amp;F&amp;C&amp;8Page &amp;P&amp;R&amp;8&amp;D   /   &amp;T</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dimension ref="B2:Q64"/>
  <sheetViews>
    <sheetView workbookViewId="0" topLeftCell="A1">
      <selection activeCell="A1" sqref="A1"/>
    </sheetView>
  </sheetViews>
  <sheetFormatPr defaultColWidth="11.421875" defaultRowHeight="12.75"/>
  <cols>
    <col min="1" max="2" width="1.7109375" style="0" customWidth="1"/>
    <col min="3" max="3" width="8.7109375" style="0" customWidth="1"/>
    <col min="4" max="5" width="10.7109375" style="0" customWidth="1"/>
    <col min="6" max="16" width="8.7109375" style="0" customWidth="1"/>
    <col min="17" max="17" width="1.7109375" style="0" customWidth="1"/>
    <col min="18" max="16384" width="9.140625" style="0" customWidth="1"/>
  </cols>
  <sheetData>
    <row r="1" ht="7.5" customHeight="1" thickBot="1"/>
    <row r="2" spans="2:17" ht="24.75" customHeight="1" thickTop="1">
      <c r="B2" s="55"/>
      <c r="C2" s="68" t="s">
        <v>161</v>
      </c>
      <c r="D2" s="44"/>
      <c r="E2" s="44"/>
      <c r="F2" s="44"/>
      <c r="G2" s="44"/>
      <c r="H2" s="44"/>
      <c r="I2" s="44"/>
      <c r="J2" s="44"/>
      <c r="K2" s="44"/>
      <c r="L2" s="44"/>
      <c r="M2" s="44"/>
      <c r="N2" s="44"/>
      <c r="O2" s="44"/>
      <c r="P2" s="44"/>
      <c r="Q2" s="45"/>
    </row>
    <row r="3" spans="2:17" ht="15.75" customHeight="1">
      <c r="B3" s="46"/>
      <c r="C3" s="175" t="s">
        <v>80</v>
      </c>
      <c r="D3" s="175"/>
      <c r="E3" s="175"/>
      <c r="F3" s="175"/>
      <c r="G3" s="175"/>
      <c r="H3" s="175"/>
      <c r="I3" s="175"/>
      <c r="J3" s="175"/>
      <c r="K3" s="175"/>
      <c r="L3" s="175"/>
      <c r="M3" s="175"/>
      <c r="N3" s="175"/>
      <c r="O3" s="175"/>
      <c r="P3" s="175"/>
      <c r="Q3" s="35"/>
    </row>
    <row r="4" spans="2:17" ht="12.75">
      <c r="B4" s="46"/>
      <c r="C4" s="38"/>
      <c r="D4" s="38"/>
      <c r="E4" s="38"/>
      <c r="F4" s="38"/>
      <c r="G4" s="38"/>
      <c r="H4" s="38"/>
      <c r="I4" s="38"/>
      <c r="J4" s="38"/>
      <c r="K4" s="38"/>
      <c r="L4" s="38"/>
      <c r="M4" s="38"/>
      <c r="N4" s="38"/>
      <c r="O4" s="38"/>
      <c r="P4" s="38"/>
      <c r="Q4" s="35"/>
    </row>
    <row r="5" spans="2:17" ht="12.75">
      <c r="B5" s="46"/>
      <c r="C5" s="53" t="s">
        <v>38</v>
      </c>
      <c r="D5" s="38"/>
      <c r="E5" s="95">
        <f>Data_File!R5</f>
        <v>1</v>
      </c>
      <c r="F5" s="38"/>
      <c r="G5" s="38"/>
      <c r="H5" s="38"/>
      <c r="I5" s="38"/>
      <c r="J5" s="38"/>
      <c r="K5" s="38"/>
      <c r="L5" s="38"/>
      <c r="M5" s="38"/>
      <c r="N5" s="38"/>
      <c r="O5" s="38"/>
      <c r="P5" s="38"/>
      <c r="Q5" s="35"/>
    </row>
    <row r="6" spans="2:17" ht="12.75">
      <c r="B6" s="46"/>
      <c r="C6" s="53"/>
      <c r="D6" s="38"/>
      <c r="E6" s="38"/>
      <c r="F6" s="38"/>
      <c r="G6" s="38"/>
      <c r="H6" s="38"/>
      <c r="I6" s="38"/>
      <c r="J6" s="38"/>
      <c r="K6" s="38"/>
      <c r="L6" s="38"/>
      <c r="M6" s="38"/>
      <c r="N6" s="38"/>
      <c r="O6" s="38"/>
      <c r="P6" s="38"/>
      <c r="Q6" s="35"/>
    </row>
    <row r="7" spans="2:17" ht="12.75">
      <c r="B7" s="46"/>
      <c r="C7" s="38"/>
      <c r="D7" s="38"/>
      <c r="E7" s="47"/>
      <c r="F7" s="47"/>
      <c r="G7" s="38"/>
      <c r="H7" s="38"/>
      <c r="I7" s="38"/>
      <c r="J7" s="38"/>
      <c r="K7" s="38"/>
      <c r="L7" s="38"/>
      <c r="M7" s="38"/>
      <c r="N7" s="38"/>
      <c r="O7" s="38"/>
      <c r="P7" s="38"/>
      <c r="Q7" s="35"/>
    </row>
    <row r="8" spans="2:17" ht="12.75">
      <c r="B8" s="46"/>
      <c r="C8" s="53" t="s">
        <v>94</v>
      </c>
      <c r="D8" s="38"/>
      <c r="E8" s="38"/>
      <c r="F8" s="38"/>
      <c r="G8" s="38"/>
      <c r="H8" s="38"/>
      <c r="I8" s="38"/>
      <c r="J8" s="38"/>
      <c r="K8" s="38"/>
      <c r="L8" s="38"/>
      <c r="M8" s="38"/>
      <c r="N8" s="38"/>
      <c r="O8" s="38"/>
      <c r="P8" s="38"/>
      <c r="Q8" s="35"/>
    </row>
    <row r="9" spans="2:17" ht="12.75">
      <c r="B9" s="46"/>
      <c r="C9" s="53"/>
      <c r="D9" s="38"/>
      <c r="E9" s="38"/>
      <c r="F9" s="38"/>
      <c r="G9" s="38"/>
      <c r="H9" s="38"/>
      <c r="I9" s="38"/>
      <c r="J9" s="38"/>
      <c r="K9" s="38"/>
      <c r="L9" s="38"/>
      <c r="M9" s="38"/>
      <c r="N9" s="38"/>
      <c r="O9" s="38"/>
      <c r="P9" s="38"/>
      <c r="Q9" s="35"/>
    </row>
    <row r="10" spans="2:17" ht="12.75">
      <c r="B10" s="46"/>
      <c r="C10" s="38" t="s">
        <v>81</v>
      </c>
      <c r="D10" s="38"/>
      <c r="E10" s="144">
        <v>0.00918</v>
      </c>
      <c r="F10" s="48"/>
      <c r="G10" s="38"/>
      <c r="H10" s="38"/>
      <c r="I10" s="38"/>
      <c r="J10" s="38"/>
      <c r="K10" s="38"/>
      <c r="L10" s="38"/>
      <c r="M10" s="38"/>
      <c r="N10" s="38"/>
      <c r="O10" s="38"/>
      <c r="P10" s="38"/>
      <c r="Q10" s="35"/>
    </row>
    <row r="11" spans="2:17" ht="12.75">
      <c r="B11" s="46"/>
      <c r="C11" s="38" t="s">
        <v>82</v>
      </c>
      <c r="D11" s="38"/>
      <c r="E11" s="145">
        <v>0.65</v>
      </c>
      <c r="F11" s="48"/>
      <c r="G11" s="38"/>
      <c r="H11" s="38"/>
      <c r="I11" s="38"/>
      <c r="J11" s="38"/>
      <c r="K11" s="38"/>
      <c r="L11" s="38"/>
      <c r="M11" s="38"/>
      <c r="N11" s="38"/>
      <c r="O11" s="38"/>
      <c r="P11" s="38"/>
      <c r="Q11" s="35"/>
    </row>
    <row r="12" spans="2:17" ht="12.75">
      <c r="B12" s="46"/>
      <c r="C12" s="38" t="s">
        <v>83</v>
      </c>
      <c r="D12" s="38"/>
      <c r="E12" s="146">
        <v>2.5</v>
      </c>
      <c r="F12" s="49"/>
      <c r="G12" s="38"/>
      <c r="H12" s="38"/>
      <c r="I12" s="38"/>
      <c r="J12" s="38"/>
      <c r="K12" s="38"/>
      <c r="L12" s="38"/>
      <c r="M12" s="38"/>
      <c r="N12" s="38"/>
      <c r="O12" s="38"/>
      <c r="P12" s="38"/>
      <c r="Q12" s="35"/>
    </row>
    <row r="13" spans="2:17" ht="12.75">
      <c r="B13" s="46"/>
      <c r="C13" s="38" t="s">
        <v>84</v>
      </c>
      <c r="D13" s="38"/>
      <c r="E13" s="147">
        <v>6532</v>
      </c>
      <c r="F13" s="49"/>
      <c r="G13" s="38"/>
      <c r="H13" s="38"/>
      <c r="I13" s="38"/>
      <c r="J13" s="38"/>
      <c r="K13" s="38"/>
      <c r="L13" s="38"/>
      <c r="M13" s="38"/>
      <c r="N13" s="38"/>
      <c r="O13" s="38"/>
      <c r="P13" s="38"/>
      <c r="Q13" s="35"/>
    </row>
    <row r="14" spans="2:17" ht="12.75">
      <c r="B14" s="46"/>
      <c r="C14" s="54" t="s">
        <v>92</v>
      </c>
      <c r="D14" s="38"/>
      <c r="E14" s="38"/>
      <c r="F14" s="37"/>
      <c r="G14" s="38"/>
      <c r="H14" s="38"/>
      <c r="I14" s="38"/>
      <c r="J14" s="38"/>
      <c r="K14" s="38"/>
      <c r="L14" s="38"/>
      <c r="M14" s="38"/>
      <c r="N14" s="38"/>
      <c r="O14" s="38"/>
      <c r="P14" s="38"/>
      <c r="Q14" s="35"/>
    </row>
    <row r="15" spans="2:17" ht="12.75">
      <c r="B15" s="46"/>
      <c r="C15" s="38" t="s">
        <v>85</v>
      </c>
      <c r="D15" s="38"/>
      <c r="E15" s="148">
        <v>0</v>
      </c>
      <c r="F15" s="50"/>
      <c r="G15" s="38"/>
      <c r="H15" s="38"/>
      <c r="I15" s="38"/>
      <c r="J15" s="38"/>
      <c r="K15" s="38"/>
      <c r="L15" s="38"/>
      <c r="M15" s="38"/>
      <c r="N15" s="38"/>
      <c r="O15" s="38"/>
      <c r="P15" s="38"/>
      <c r="Q15" s="35"/>
    </row>
    <row r="16" spans="2:17" ht="12.75">
      <c r="B16" s="46"/>
      <c r="C16" s="38" t="s">
        <v>86</v>
      </c>
      <c r="D16" s="38"/>
      <c r="E16" s="145">
        <v>1</v>
      </c>
      <c r="F16" s="38"/>
      <c r="G16" s="38"/>
      <c r="H16" s="38"/>
      <c r="I16" s="38"/>
      <c r="J16" s="38"/>
      <c r="K16" s="38"/>
      <c r="L16" s="38"/>
      <c r="M16" s="38"/>
      <c r="N16" s="38"/>
      <c r="O16" s="38"/>
      <c r="P16" s="38"/>
      <c r="Q16" s="35"/>
    </row>
    <row r="17" spans="2:17" ht="12.75">
      <c r="B17" s="46"/>
      <c r="C17" s="38"/>
      <c r="D17" s="38"/>
      <c r="E17" s="38"/>
      <c r="F17" s="49"/>
      <c r="G17" s="38"/>
      <c r="H17" s="38"/>
      <c r="I17" s="38"/>
      <c r="J17" s="38"/>
      <c r="K17" s="38"/>
      <c r="L17" s="38"/>
      <c r="M17" s="38"/>
      <c r="N17" s="38"/>
      <c r="O17" s="38"/>
      <c r="P17" s="38"/>
      <c r="Q17" s="35"/>
    </row>
    <row r="18" spans="2:17" ht="12.75">
      <c r="B18" s="46"/>
      <c r="C18" s="54" t="s">
        <v>93</v>
      </c>
      <c r="D18" s="38"/>
      <c r="E18" s="51"/>
      <c r="F18" s="49"/>
      <c r="G18" s="38"/>
      <c r="H18" s="38"/>
      <c r="I18" s="38"/>
      <c r="J18" s="38"/>
      <c r="K18" s="38"/>
      <c r="L18" s="38"/>
      <c r="M18" s="38"/>
      <c r="N18" s="38"/>
      <c r="O18" s="38"/>
      <c r="P18" s="38"/>
      <c r="Q18" s="35"/>
    </row>
    <row r="19" spans="2:17" ht="12.75">
      <c r="B19" s="46"/>
      <c r="C19" s="54"/>
      <c r="D19" s="38"/>
      <c r="E19" s="51"/>
      <c r="F19" s="49"/>
      <c r="G19" s="38"/>
      <c r="H19" s="38"/>
      <c r="I19" s="38"/>
      <c r="J19" s="38"/>
      <c r="K19" s="38"/>
      <c r="L19" s="38"/>
      <c r="M19" s="38"/>
      <c r="N19" s="38"/>
      <c r="O19" s="38"/>
      <c r="P19" s="38"/>
      <c r="Q19" s="35"/>
    </row>
    <row r="20" spans="2:17" ht="12.75">
      <c r="B20" s="46"/>
      <c r="C20" s="38" t="s">
        <v>87</v>
      </c>
      <c r="D20" s="38"/>
      <c r="E20" s="149">
        <v>0.2</v>
      </c>
      <c r="F20" s="49"/>
      <c r="G20" s="38"/>
      <c r="H20" s="38"/>
      <c r="I20" s="38"/>
      <c r="J20" s="38"/>
      <c r="K20" s="38"/>
      <c r="L20" s="38"/>
      <c r="M20" s="38"/>
      <c r="N20" s="38"/>
      <c r="O20" s="38"/>
      <c r="P20" s="38"/>
      <c r="Q20" s="35"/>
    </row>
    <row r="21" spans="2:17" ht="12.75">
      <c r="B21" s="46"/>
      <c r="C21" s="38" t="s">
        <v>88</v>
      </c>
      <c r="D21" s="38"/>
      <c r="E21" s="145">
        <v>0.25</v>
      </c>
      <c r="F21" s="37"/>
      <c r="G21" s="38"/>
      <c r="H21" s="38"/>
      <c r="I21" s="38"/>
      <c r="J21" s="38"/>
      <c r="K21" s="38"/>
      <c r="L21" s="38"/>
      <c r="M21" s="38"/>
      <c r="N21" s="38"/>
      <c r="O21" s="38"/>
      <c r="P21" s="38"/>
      <c r="Q21" s="35"/>
    </row>
    <row r="22" spans="2:17" ht="12.75">
      <c r="B22" s="46"/>
      <c r="C22" s="38" t="s">
        <v>89</v>
      </c>
      <c r="D22" s="38"/>
      <c r="E22" s="146">
        <v>4</v>
      </c>
      <c r="F22" s="37"/>
      <c r="G22" s="38"/>
      <c r="H22" s="38"/>
      <c r="I22" s="38"/>
      <c r="J22" s="38"/>
      <c r="K22" s="38"/>
      <c r="L22" s="38"/>
      <c r="M22" s="38"/>
      <c r="N22" s="38"/>
      <c r="O22" s="38"/>
      <c r="P22" s="38"/>
      <c r="Q22" s="35"/>
    </row>
    <row r="23" spans="2:17" ht="12.75">
      <c r="B23" s="46"/>
      <c r="C23" s="54" t="s">
        <v>92</v>
      </c>
      <c r="D23" s="38"/>
      <c r="E23" s="38"/>
      <c r="F23" s="38"/>
      <c r="G23" s="38"/>
      <c r="H23" s="38"/>
      <c r="I23" s="38"/>
      <c r="J23" s="38"/>
      <c r="K23" s="38"/>
      <c r="L23" s="38"/>
      <c r="M23" s="38"/>
      <c r="N23" s="38"/>
      <c r="O23" s="38"/>
      <c r="P23" s="38"/>
      <c r="Q23" s="35"/>
    </row>
    <row r="24" spans="2:17" ht="12.75">
      <c r="B24" s="46"/>
      <c r="C24" s="38" t="s">
        <v>90</v>
      </c>
      <c r="D24" s="38"/>
      <c r="E24" s="145">
        <v>0</v>
      </c>
      <c r="F24" s="38"/>
      <c r="G24" s="38"/>
      <c r="H24" s="38"/>
      <c r="I24" s="38"/>
      <c r="J24" s="38"/>
      <c r="K24" s="38"/>
      <c r="L24" s="38"/>
      <c r="M24" s="38"/>
      <c r="N24" s="38"/>
      <c r="O24" s="38"/>
      <c r="P24" s="38"/>
      <c r="Q24" s="35"/>
    </row>
    <row r="25" spans="2:17" ht="12.75">
      <c r="B25" s="46"/>
      <c r="C25" s="38"/>
      <c r="D25" s="38"/>
      <c r="E25" s="38"/>
      <c r="F25" s="38"/>
      <c r="G25" s="38"/>
      <c r="H25" s="38"/>
      <c r="I25" s="38"/>
      <c r="J25" s="38"/>
      <c r="K25" s="38"/>
      <c r="L25" s="38"/>
      <c r="M25" s="38"/>
      <c r="N25" s="38"/>
      <c r="O25" s="38"/>
      <c r="P25" s="38"/>
      <c r="Q25" s="35"/>
    </row>
    <row r="26" spans="2:17" ht="12.75">
      <c r="B26" s="46"/>
      <c r="C26" s="38"/>
      <c r="D26" s="38"/>
      <c r="E26" s="38"/>
      <c r="F26" s="38"/>
      <c r="G26" s="38"/>
      <c r="H26" s="38"/>
      <c r="I26" s="38"/>
      <c r="J26" s="38"/>
      <c r="K26" s="38"/>
      <c r="L26" s="38"/>
      <c r="M26" s="38"/>
      <c r="N26" s="38"/>
      <c r="O26" s="38"/>
      <c r="P26" s="38"/>
      <c r="Q26" s="35"/>
    </row>
    <row r="27" spans="2:17" ht="13.5" thickBot="1">
      <c r="B27" s="46"/>
      <c r="C27" s="54" t="s">
        <v>41</v>
      </c>
      <c r="D27" s="38"/>
      <c r="E27" s="16">
        <f>(Data_File!R49/Data_File!Q49)^0.5</f>
        <v>0</v>
      </c>
      <c r="F27" s="38"/>
      <c r="G27" s="172" t="s">
        <v>91</v>
      </c>
      <c r="H27" s="173"/>
      <c r="I27" s="173"/>
      <c r="J27" s="173"/>
      <c r="K27" s="173"/>
      <c r="L27" s="173"/>
      <c r="M27" s="173"/>
      <c r="N27" s="173"/>
      <c r="O27" s="173"/>
      <c r="P27" s="174"/>
      <c r="Q27" s="35"/>
    </row>
    <row r="28" spans="2:17" ht="13.5" thickBot="1">
      <c r="B28" s="52"/>
      <c r="C28" s="42"/>
      <c r="D28" s="42"/>
      <c r="E28" s="42"/>
      <c r="F28" s="42"/>
      <c r="G28" s="42"/>
      <c r="H28" s="42"/>
      <c r="I28" s="42"/>
      <c r="J28" s="42"/>
      <c r="K28" s="42"/>
      <c r="L28" s="42"/>
      <c r="M28" s="42"/>
      <c r="N28" s="42"/>
      <c r="O28" s="42"/>
      <c r="P28" s="42"/>
      <c r="Q28" s="41"/>
    </row>
    <row r="29" ht="7.5" customHeight="1" thickTop="1"/>
    <row r="30" ht="12.75">
      <c r="C30" t="s">
        <v>74</v>
      </c>
    </row>
    <row r="31" ht="7.5" customHeight="1" thickBot="1"/>
    <row r="32" spans="2:17" ht="24.75" customHeight="1" thickTop="1">
      <c r="B32" s="97"/>
      <c r="C32" s="108" t="s">
        <v>75</v>
      </c>
      <c r="D32" s="98"/>
      <c r="E32" s="98"/>
      <c r="F32" s="98"/>
      <c r="G32" s="98"/>
      <c r="H32" s="98"/>
      <c r="I32" s="98"/>
      <c r="J32" s="98"/>
      <c r="K32" s="98"/>
      <c r="L32" s="98"/>
      <c r="M32" s="98"/>
      <c r="N32" s="98"/>
      <c r="O32" s="98"/>
      <c r="P32" s="98"/>
      <c r="Q32" s="99"/>
    </row>
    <row r="33" spans="2:17" ht="15.75">
      <c r="B33" s="100"/>
      <c r="C33" s="176" t="s">
        <v>106</v>
      </c>
      <c r="D33" s="176"/>
      <c r="E33" s="176"/>
      <c r="F33" s="176"/>
      <c r="G33" s="176"/>
      <c r="H33" s="176"/>
      <c r="I33" s="176"/>
      <c r="J33" s="176"/>
      <c r="K33" s="176"/>
      <c r="L33" s="176"/>
      <c r="M33" s="176"/>
      <c r="N33" s="176"/>
      <c r="O33" s="176"/>
      <c r="P33" s="176"/>
      <c r="Q33" s="106"/>
    </row>
    <row r="34" spans="2:17" ht="12.75">
      <c r="B34" s="100"/>
      <c r="C34" s="102"/>
      <c r="D34" s="102"/>
      <c r="E34" s="102"/>
      <c r="F34" s="102"/>
      <c r="G34" s="102"/>
      <c r="H34" s="102"/>
      <c r="I34" s="102"/>
      <c r="J34" s="102"/>
      <c r="K34" s="102"/>
      <c r="L34" s="102"/>
      <c r="M34" s="102"/>
      <c r="N34" s="102"/>
      <c r="O34" s="102"/>
      <c r="P34" s="102"/>
      <c r="Q34" s="106"/>
    </row>
    <row r="35" spans="2:17" ht="12.75">
      <c r="B35" s="100"/>
      <c r="C35" s="101" t="s">
        <v>38</v>
      </c>
      <c r="D35" s="102"/>
      <c r="E35" s="150">
        <v>1</v>
      </c>
      <c r="F35" s="150">
        <v>2</v>
      </c>
      <c r="G35" s="150">
        <v>3</v>
      </c>
      <c r="H35" s="150">
        <v>4</v>
      </c>
      <c r="I35" s="150"/>
      <c r="J35" s="150"/>
      <c r="K35" s="150"/>
      <c r="L35" s="150"/>
      <c r="M35" s="150"/>
      <c r="N35" s="109"/>
      <c r="O35" s="109"/>
      <c r="P35" s="109"/>
      <c r="Q35" s="106"/>
    </row>
    <row r="36" spans="2:17" ht="13.5" thickBot="1">
      <c r="B36" s="100"/>
      <c r="C36" s="101"/>
      <c r="D36" s="102"/>
      <c r="E36" s="157"/>
      <c r="F36" s="157"/>
      <c r="G36" s="157"/>
      <c r="H36" s="157"/>
      <c r="I36" s="157"/>
      <c r="J36" s="157"/>
      <c r="K36" s="157"/>
      <c r="L36" s="157"/>
      <c r="M36" s="157"/>
      <c r="N36" s="109"/>
      <c r="O36" s="109"/>
      <c r="P36" s="109"/>
      <c r="Q36" s="106"/>
    </row>
    <row r="37" spans="2:17" ht="13.5" thickTop="1">
      <c r="B37" s="100"/>
      <c r="C37" s="102"/>
      <c r="D37" s="102"/>
      <c r="E37" s="158"/>
      <c r="F37" s="158"/>
      <c r="G37" s="158"/>
      <c r="H37" s="158"/>
      <c r="I37" s="158"/>
      <c r="J37" s="158"/>
      <c r="K37" s="158"/>
      <c r="L37" s="158"/>
      <c r="M37" s="158"/>
      <c r="N37" s="110" t="s">
        <v>116</v>
      </c>
      <c r="O37" s="110" t="s">
        <v>115</v>
      </c>
      <c r="P37" s="110" t="s">
        <v>113</v>
      </c>
      <c r="Q37" s="106"/>
    </row>
    <row r="38" spans="2:17" ht="12.75">
      <c r="B38" s="100"/>
      <c r="C38" s="101" t="s">
        <v>94</v>
      </c>
      <c r="D38" s="102"/>
      <c r="E38" s="157"/>
      <c r="F38" s="157"/>
      <c r="G38" s="157"/>
      <c r="H38" s="157"/>
      <c r="I38" s="157"/>
      <c r="J38" s="157"/>
      <c r="K38" s="157"/>
      <c r="L38" s="157"/>
      <c r="M38" s="157"/>
      <c r="N38" s="111" t="s">
        <v>111</v>
      </c>
      <c r="O38" s="111" t="s">
        <v>112</v>
      </c>
      <c r="P38" s="111" t="s">
        <v>114</v>
      </c>
      <c r="Q38" s="106"/>
    </row>
    <row r="39" spans="2:17" ht="12.75">
      <c r="B39" s="100"/>
      <c r="C39" s="101"/>
      <c r="D39" s="102"/>
      <c r="E39" s="157"/>
      <c r="F39" s="157"/>
      <c r="G39" s="157"/>
      <c r="H39" s="157"/>
      <c r="I39" s="157"/>
      <c r="J39" s="157"/>
      <c r="K39" s="157"/>
      <c r="L39" s="157"/>
      <c r="M39" s="157"/>
      <c r="N39" s="112"/>
      <c r="O39" s="112"/>
      <c r="P39" s="112"/>
      <c r="Q39" s="106"/>
    </row>
    <row r="40" spans="2:17" ht="12.75">
      <c r="B40" s="100"/>
      <c r="C40" s="102" t="s">
        <v>81</v>
      </c>
      <c r="D40" s="102"/>
      <c r="E40" s="144">
        <v>0.00697</v>
      </c>
      <c r="F40" s="144">
        <v>0.0071</v>
      </c>
      <c r="G40" s="144">
        <v>0.0065</v>
      </c>
      <c r="H40" s="144">
        <v>0.00723</v>
      </c>
      <c r="I40" s="144"/>
      <c r="J40" s="144"/>
      <c r="K40" s="144"/>
      <c r="L40" s="144"/>
      <c r="M40" s="151"/>
      <c r="N40" s="117">
        <f>AVERAGE(E40:M40)</f>
        <v>0.00695</v>
      </c>
      <c r="O40" s="118">
        <f>STDEV(E40:M40)</f>
        <v>0.00031822423959633695</v>
      </c>
      <c r="P40" s="119">
        <f>O40/N40</f>
        <v>0.045787660373573666</v>
      </c>
      <c r="Q40" s="106"/>
    </row>
    <row r="41" spans="2:17" ht="12.75">
      <c r="B41" s="100"/>
      <c r="C41" s="102" t="s">
        <v>82</v>
      </c>
      <c r="D41" s="102"/>
      <c r="E41" s="145">
        <v>0.6931476344045799</v>
      </c>
      <c r="F41" s="145">
        <v>0.6931476344045799</v>
      </c>
      <c r="G41" s="145">
        <v>0.6931476344045799</v>
      </c>
      <c r="H41" s="145">
        <v>0.6931476344045799</v>
      </c>
      <c r="I41" s="145"/>
      <c r="J41" s="145"/>
      <c r="K41" s="145"/>
      <c r="L41" s="145"/>
      <c r="M41" s="152"/>
      <c r="N41" s="120">
        <f aca="true" t="shared" si="0" ref="N41:N54">AVERAGE(E41:M41)</f>
        <v>0.6931476344045799</v>
      </c>
      <c r="O41" s="121">
        <f aca="true" t="shared" si="1" ref="O41:O54">STDEV(E41:M41)</f>
        <v>0</v>
      </c>
      <c r="P41" s="120">
        <f aca="true" t="shared" si="2" ref="P41:P54">O41/N41</f>
        <v>0</v>
      </c>
      <c r="Q41" s="106"/>
    </row>
    <row r="42" spans="2:17" ht="12.75">
      <c r="B42" s="100"/>
      <c r="C42" s="102" t="s">
        <v>83</v>
      </c>
      <c r="D42" s="102"/>
      <c r="E42" s="146">
        <v>2.5</v>
      </c>
      <c r="F42" s="146">
        <v>2.5</v>
      </c>
      <c r="G42" s="146">
        <v>2.5</v>
      </c>
      <c r="H42" s="146">
        <v>2.5</v>
      </c>
      <c r="I42" s="146"/>
      <c r="J42" s="146"/>
      <c r="K42" s="146"/>
      <c r="L42" s="146"/>
      <c r="M42" s="153"/>
      <c r="N42" s="122">
        <f t="shared" si="0"/>
        <v>2.5</v>
      </c>
      <c r="O42" s="120">
        <f t="shared" si="1"/>
        <v>0</v>
      </c>
      <c r="P42" s="120">
        <f t="shared" si="2"/>
        <v>0</v>
      </c>
      <c r="Q42" s="106"/>
    </row>
    <row r="43" spans="2:17" ht="12.75">
      <c r="B43" s="100"/>
      <c r="C43" s="102" t="s">
        <v>84</v>
      </c>
      <c r="D43" s="102"/>
      <c r="E43" s="147">
        <v>5970</v>
      </c>
      <c r="F43" s="147">
        <v>6100</v>
      </c>
      <c r="G43" s="147">
        <v>6030</v>
      </c>
      <c r="H43" s="147">
        <v>5824</v>
      </c>
      <c r="I43" s="147"/>
      <c r="J43" s="147"/>
      <c r="K43" s="147"/>
      <c r="L43" s="147"/>
      <c r="M43" s="154"/>
      <c r="N43" s="123">
        <f t="shared" si="0"/>
        <v>5981</v>
      </c>
      <c r="O43" s="123">
        <f t="shared" si="1"/>
        <v>117.37688585634453</v>
      </c>
      <c r="P43" s="124">
        <f t="shared" si="2"/>
        <v>0.01962496001610843</v>
      </c>
      <c r="Q43" s="106"/>
    </row>
    <row r="44" spans="2:17" ht="12.75">
      <c r="B44" s="100"/>
      <c r="C44" s="103" t="s">
        <v>92</v>
      </c>
      <c r="D44" s="102"/>
      <c r="E44" s="157"/>
      <c r="F44" s="157"/>
      <c r="G44" s="157"/>
      <c r="H44" s="157"/>
      <c r="I44" s="157"/>
      <c r="J44" s="157"/>
      <c r="K44" s="157"/>
      <c r="L44" s="157"/>
      <c r="M44" s="157"/>
      <c r="N44" s="114"/>
      <c r="O44" s="113"/>
      <c r="P44" s="115"/>
      <c r="Q44" s="106"/>
    </row>
    <row r="45" spans="2:17" ht="12.75">
      <c r="B45" s="100"/>
      <c r="C45" s="102" t="s">
        <v>85</v>
      </c>
      <c r="D45" s="102"/>
      <c r="E45" s="148">
        <v>0</v>
      </c>
      <c r="F45" s="148">
        <v>0</v>
      </c>
      <c r="G45" s="148">
        <v>0</v>
      </c>
      <c r="H45" s="148">
        <v>0</v>
      </c>
      <c r="I45" s="148"/>
      <c r="J45" s="148"/>
      <c r="K45" s="148"/>
      <c r="L45" s="148"/>
      <c r="M45" s="155"/>
      <c r="N45" s="117">
        <f t="shared" si="0"/>
        <v>0</v>
      </c>
      <c r="O45" s="118">
        <f t="shared" si="1"/>
        <v>0</v>
      </c>
      <c r="P45" s="119" t="e">
        <f t="shared" si="2"/>
        <v>#DIV/0!</v>
      </c>
      <c r="Q45" s="106"/>
    </row>
    <row r="46" spans="2:17" ht="12.75">
      <c r="B46" s="100"/>
      <c r="C46" s="102" t="s">
        <v>86</v>
      </c>
      <c r="D46" s="102"/>
      <c r="E46" s="145">
        <v>1</v>
      </c>
      <c r="F46" s="145">
        <v>1</v>
      </c>
      <c r="G46" s="145">
        <v>1</v>
      </c>
      <c r="H46" s="145">
        <v>1</v>
      </c>
      <c r="I46" s="145"/>
      <c r="J46" s="145"/>
      <c r="K46" s="145"/>
      <c r="L46" s="145"/>
      <c r="M46" s="152"/>
      <c r="N46" s="124">
        <f t="shared" si="0"/>
        <v>1</v>
      </c>
      <c r="O46" s="125">
        <f t="shared" si="1"/>
        <v>0</v>
      </c>
      <c r="P46" s="124">
        <f t="shared" si="2"/>
        <v>0</v>
      </c>
      <c r="Q46" s="106"/>
    </row>
    <row r="47" spans="2:17" ht="12.75">
      <c r="B47" s="100"/>
      <c r="C47" s="102"/>
      <c r="D47" s="102"/>
      <c r="E47" s="157"/>
      <c r="F47" s="157"/>
      <c r="G47" s="157"/>
      <c r="H47" s="157"/>
      <c r="I47" s="157"/>
      <c r="J47" s="157"/>
      <c r="K47" s="157"/>
      <c r="L47" s="157"/>
      <c r="M47" s="157"/>
      <c r="N47" s="114"/>
      <c r="O47" s="113"/>
      <c r="P47" s="115"/>
      <c r="Q47" s="106"/>
    </row>
    <row r="48" spans="2:17" ht="12.75">
      <c r="B48" s="100"/>
      <c r="C48" s="103" t="s">
        <v>93</v>
      </c>
      <c r="D48" s="102"/>
      <c r="E48" s="159"/>
      <c r="F48" s="159"/>
      <c r="G48" s="159"/>
      <c r="H48" s="159"/>
      <c r="I48" s="159"/>
      <c r="J48" s="159"/>
      <c r="K48" s="159"/>
      <c r="L48" s="159"/>
      <c r="M48" s="159"/>
      <c r="N48" s="114"/>
      <c r="O48" s="113"/>
      <c r="P48" s="115"/>
      <c r="Q48" s="106"/>
    </row>
    <row r="49" spans="2:17" ht="12.75">
      <c r="B49" s="100"/>
      <c r="C49" s="103"/>
      <c r="D49" s="102"/>
      <c r="E49" s="159"/>
      <c r="F49" s="159"/>
      <c r="G49" s="159"/>
      <c r="H49" s="159"/>
      <c r="I49" s="159"/>
      <c r="J49" s="159"/>
      <c r="K49" s="159"/>
      <c r="L49" s="159"/>
      <c r="M49" s="159"/>
      <c r="N49" s="114"/>
      <c r="O49" s="113"/>
      <c r="P49" s="115"/>
      <c r="Q49" s="106"/>
    </row>
    <row r="50" spans="2:17" ht="12.75">
      <c r="B50" s="100"/>
      <c r="C50" s="102" t="s">
        <v>87</v>
      </c>
      <c r="D50" s="102"/>
      <c r="E50" s="149">
        <v>0.2</v>
      </c>
      <c r="F50" s="149">
        <v>0.23</v>
      </c>
      <c r="G50" s="149">
        <v>0.21</v>
      </c>
      <c r="H50" s="149">
        <v>0.24</v>
      </c>
      <c r="I50" s="149"/>
      <c r="J50" s="149"/>
      <c r="K50" s="149"/>
      <c r="L50" s="149"/>
      <c r="M50" s="156"/>
      <c r="N50" s="117">
        <f t="shared" si="0"/>
        <v>0.22</v>
      </c>
      <c r="O50" s="118">
        <f t="shared" si="1"/>
        <v>0.018257418583505547</v>
      </c>
      <c r="P50" s="119">
        <f t="shared" si="2"/>
        <v>0.08298826628866157</v>
      </c>
      <c r="Q50" s="106"/>
    </row>
    <row r="51" spans="2:17" ht="12.75">
      <c r="B51" s="100"/>
      <c r="C51" s="102" t="s">
        <v>88</v>
      </c>
      <c r="D51" s="102"/>
      <c r="E51" s="145">
        <v>0.25</v>
      </c>
      <c r="F51" s="145">
        <v>0.25</v>
      </c>
      <c r="G51" s="145">
        <v>0.25</v>
      </c>
      <c r="H51" s="145">
        <v>0.25</v>
      </c>
      <c r="I51" s="145"/>
      <c r="J51" s="145"/>
      <c r="K51" s="145"/>
      <c r="L51" s="145"/>
      <c r="M51" s="152"/>
      <c r="N51" s="120">
        <f t="shared" si="0"/>
        <v>0.25</v>
      </c>
      <c r="O51" s="121">
        <f t="shared" si="1"/>
        <v>0</v>
      </c>
      <c r="P51" s="120">
        <f t="shared" si="2"/>
        <v>0</v>
      </c>
      <c r="Q51" s="106"/>
    </row>
    <row r="52" spans="2:17" ht="12.75">
      <c r="B52" s="100"/>
      <c r="C52" s="102" t="s">
        <v>89</v>
      </c>
      <c r="D52" s="102"/>
      <c r="E52" s="146">
        <v>4</v>
      </c>
      <c r="F52" s="146">
        <v>4</v>
      </c>
      <c r="G52" s="146">
        <v>4</v>
      </c>
      <c r="H52" s="146">
        <v>4</v>
      </c>
      <c r="I52" s="146"/>
      <c r="J52" s="146"/>
      <c r="K52" s="146"/>
      <c r="L52" s="146"/>
      <c r="M52" s="153"/>
      <c r="N52" s="126">
        <f t="shared" si="0"/>
        <v>4</v>
      </c>
      <c r="O52" s="124">
        <f t="shared" si="1"/>
        <v>0</v>
      </c>
      <c r="P52" s="124">
        <f t="shared" si="2"/>
        <v>0</v>
      </c>
      <c r="Q52" s="106"/>
    </row>
    <row r="53" spans="2:17" ht="12.75">
      <c r="B53" s="100"/>
      <c r="C53" s="103" t="s">
        <v>92</v>
      </c>
      <c r="D53" s="102"/>
      <c r="E53" s="157"/>
      <c r="F53" s="157"/>
      <c r="G53" s="157"/>
      <c r="H53" s="157"/>
      <c r="I53" s="157"/>
      <c r="J53" s="157"/>
      <c r="K53" s="157"/>
      <c r="L53" s="157"/>
      <c r="M53" s="157"/>
      <c r="N53" s="114"/>
      <c r="O53" s="113"/>
      <c r="P53" s="115"/>
      <c r="Q53" s="106"/>
    </row>
    <row r="54" spans="2:17" ht="12.75">
      <c r="B54" s="100"/>
      <c r="C54" s="102" t="s">
        <v>90</v>
      </c>
      <c r="D54" s="102"/>
      <c r="E54" s="145">
        <v>0</v>
      </c>
      <c r="F54" s="145">
        <v>0</v>
      </c>
      <c r="G54" s="145">
        <v>0</v>
      </c>
      <c r="H54" s="145">
        <v>0</v>
      </c>
      <c r="I54" s="145"/>
      <c r="J54" s="145"/>
      <c r="K54" s="145"/>
      <c r="L54" s="145"/>
      <c r="M54" s="152"/>
      <c r="N54" s="127">
        <f t="shared" si="0"/>
        <v>0</v>
      </c>
      <c r="O54" s="128">
        <f t="shared" si="1"/>
        <v>0</v>
      </c>
      <c r="P54" s="127" t="e">
        <f t="shared" si="2"/>
        <v>#DIV/0!</v>
      </c>
      <c r="Q54" s="106"/>
    </row>
    <row r="55" spans="2:17" ht="13.5" thickBot="1">
      <c r="B55" s="100"/>
      <c r="C55" s="102"/>
      <c r="D55" s="102"/>
      <c r="E55" s="157"/>
      <c r="F55" s="157"/>
      <c r="G55" s="157"/>
      <c r="H55" s="157"/>
      <c r="I55" s="157"/>
      <c r="J55" s="157"/>
      <c r="K55" s="157"/>
      <c r="L55" s="157"/>
      <c r="M55" s="157"/>
      <c r="N55" s="116"/>
      <c r="O55" s="116"/>
      <c r="P55" s="116"/>
      <c r="Q55" s="106"/>
    </row>
    <row r="56" spans="2:17" ht="13.5" thickTop="1">
      <c r="B56" s="100"/>
      <c r="C56" s="102"/>
      <c r="D56" s="102"/>
      <c r="E56" s="157"/>
      <c r="F56" s="157"/>
      <c r="G56" s="157"/>
      <c r="H56" s="157"/>
      <c r="I56" s="157"/>
      <c r="J56" s="157"/>
      <c r="K56" s="157"/>
      <c r="L56" s="157"/>
      <c r="M56" s="157"/>
      <c r="N56" s="98"/>
      <c r="O56" s="98"/>
      <c r="P56" s="98"/>
      <c r="Q56" s="106"/>
    </row>
    <row r="57" spans="2:17" ht="13.5" thickBot="1">
      <c r="B57" s="100"/>
      <c r="C57" s="103" t="s">
        <v>41</v>
      </c>
      <c r="D57" s="102"/>
      <c r="E57" s="160">
        <v>2.8651222525753592</v>
      </c>
      <c r="F57" s="160">
        <v>3.15</v>
      </c>
      <c r="G57" s="160">
        <v>2.17</v>
      </c>
      <c r="H57" s="160">
        <v>2.65</v>
      </c>
      <c r="I57" s="160"/>
      <c r="J57" s="160"/>
      <c r="K57" s="160"/>
      <c r="L57" s="160"/>
      <c r="M57" s="160"/>
      <c r="N57" s="102"/>
      <c r="O57" s="102"/>
      <c r="P57" s="102"/>
      <c r="Q57" s="106"/>
    </row>
    <row r="58" spans="2:17" ht="13.5" thickBot="1">
      <c r="B58" s="104"/>
      <c r="C58" s="105"/>
      <c r="D58" s="105"/>
      <c r="E58" s="105"/>
      <c r="F58" s="105"/>
      <c r="G58" s="105"/>
      <c r="H58" s="105"/>
      <c r="I58" s="105"/>
      <c r="J58" s="105"/>
      <c r="K58" s="105"/>
      <c r="L58" s="105"/>
      <c r="M58" s="105"/>
      <c r="N58" s="105"/>
      <c r="O58" s="105"/>
      <c r="P58" s="105"/>
      <c r="Q58" s="107"/>
    </row>
    <row r="59" ht="13.5" thickTop="1"/>
    <row r="60" ht="12.75">
      <c r="C60" t="s">
        <v>107</v>
      </c>
    </row>
    <row r="61" ht="12.75">
      <c r="C61" t="s">
        <v>108</v>
      </c>
    </row>
    <row r="62" ht="12.75">
      <c r="C62" t="s">
        <v>164</v>
      </c>
    </row>
    <row r="63" ht="12.75">
      <c r="C63" t="s">
        <v>110</v>
      </c>
    </row>
    <row r="64" ht="12.75">
      <c r="C64" t="s">
        <v>109</v>
      </c>
    </row>
  </sheetData>
  <sheetProtection password="CD50" sheet="1" objects="1" scenarios="1" insertColumns="0" insertRows="0"/>
  <mergeCells count="3">
    <mergeCell ref="G27:P27"/>
    <mergeCell ref="C3:P3"/>
    <mergeCell ref="C33:P33"/>
  </mergeCells>
  <printOptions horizontalCentered="1"/>
  <pageMargins left="0.25" right="0.25" top="1" bottom="1.5" header="0" footer="0.5"/>
  <pageSetup horizontalDpi="300" verticalDpi="300" orientation="landscape" r:id="rId4"/>
  <headerFooter alignWithMargins="0">
    <oddFooter>&amp;L&amp;"Arial,Bold"&amp;8Moly-Cop Tools&amp;"Arial,Regular" / &amp;F&amp;R&amp;8&amp;D / &amp;T</oddFooter>
  </headerFooter>
  <rowBreaks count="1" manualBreakCount="1">
    <brk id="30"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
  <dimension ref="B2:X50"/>
  <sheetViews>
    <sheetView tabSelected="1" zoomScale="85" zoomScaleNormal="85" workbookViewId="0" topLeftCell="A1">
      <selection activeCell="D24" sqref="D24"/>
    </sheetView>
  </sheetViews>
  <sheetFormatPr defaultColWidth="11.421875" defaultRowHeight="12.75"/>
  <cols>
    <col min="1" max="2" width="1.7109375" style="0" customWidth="1"/>
    <col min="3" max="6" width="10.7109375" style="0" customWidth="1"/>
    <col min="7" max="12" width="8.7109375" style="0" customWidth="1"/>
    <col min="13" max="13" width="1.7109375" style="0" customWidth="1"/>
    <col min="14" max="16" width="8.7109375" style="0" customWidth="1"/>
    <col min="17" max="17" width="7.7109375" style="0" customWidth="1"/>
    <col min="18" max="18" width="12.7109375" style="0" customWidth="1"/>
    <col min="19" max="20" width="1.7109375" style="0" customWidth="1"/>
    <col min="21" max="16384" width="9.140625" style="0" customWidth="1"/>
  </cols>
  <sheetData>
    <row r="1" ht="7.5" customHeight="1" thickBot="1"/>
    <row r="2" spans="2:19" ht="21.75" thickTop="1">
      <c r="B2" s="55"/>
      <c r="C2" s="68" t="s">
        <v>161</v>
      </c>
      <c r="D2" s="44"/>
      <c r="E2" s="44"/>
      <c r="F2" s="44"/>
      <c r="G2" s="44"/>
      <c r="H2" s="44"/>
      <c r="I2" s="44"/>
      <c r="J2" s="44"/>
      <c r="K2" s="44"/>
      <c r="L2" s="44"/>
      <c r="M2" s="44"/>
      <c r="N2" s="44"/>
      <c r="O2" s="44"/>
      <c r="P2" s="44"/>
      <c r="Q2" s="44"/>
      <c r="R2" s="44"/>
      <c r="S2" s="45"/>
    </row>
    <row r="3" spans="2:19" ht="15" customHeight="1">
      <c r="B3" s="46"/>
      <c r="C3" s="175" t="s">
        <v>76</v>
      </c>
      <c r="D3" s="175"/>
      <c r="E3" s="175"/>
      <c r="F3" s="175"/>
      <c r="G3" s="175"/>
      <c r="H3" s="175"/>
      <c r="I3" s="175"/>
      <c r="J3" s="175"/>
      <c r="K3" s="175"/>
      <c r="L3" s="175"/>
      <c r="M3" s="175"/>
      <c r="N3" s="175"/>
      <c r="O3" s="175"/>
      <c r="P3" s="175"/>
      <c r="Q3" s="175"/>
      <c r="R3" s="175"/>
      <c r="S3" s="35"/>
    </row>
    <row r="4" spans="2:19" ht="12.75">
      <c r="B4" s="46"/>
      <c r="C4" s="38"/>
      <c r="D4" s="38"/>
      <c r="E4" s="38"/>
      <c r="F4" s="38"/>
      <c r="G4" s="38"/>
      <c r="H4" s="38"/>
      <c r="I4" s="38"/>
      <c r="J4" s="38"/>
      <c r="K4" s="38"/>
      <c r="L4" s="38"/>
      <c r="M4" s="38"/>
      <c r="N4" s="38"/>
      <c r="O4" s="38"/>
      <c r="P4" s="38"/>
      <c r="Q4" s="38"/>
      <c r="R4" s="38"/>
      <c r="S4" s="35"/>
    </row>
    <row r="5" spans="2:19" ht="12.75" customHeight="1">
      <c r="B5" s="46"/>
      <c r="C5" s="54" t="s">
        <v>24</v>
      </c>
      <c r="D5" s="188" t="s">
        <v>78</v>
      </c>
      <c r="E5" s="189"/>
      <c r="F5" s="189"/>
      <c r="G5" s="189"/>
      <c r="H5" s="189"/>
      <c r="I5" s="190"/>
      <c r="J5" s="38"/>
      <c r="K5" s="38"/>
      <c r="L5" s="38"/>
      <c r="M5" s="38"/>
      <c r="N5" s="38"/>
      <c r="O5" s="38"/>
      <c r="P5" s="38"/>
      <c r="Q5" s="54" t="s">
        <v>38</v>
      </c>
      <c r="R5" s="150">
        <v>1</v>
      </c>
      <c r="S5" s="35"/>
    </row>
    <row r="6" spans="2:19" ht="12.75">
      <c r="B6" s="46"/>
      <c r="C6" s="38"/>
      <c r="D6" s="191" t="s">
        <v>69</v>
      </c>
      <c r="E6" s="192"/>
      <c r="F6" s="192"/>
      <c r="G6" s="192"/>
      <c r="H6" s="192"/>
      <c r="I6" s="193"/>
      <c r="J6" s="38"/>
      <c r="K6" s="38"/>
      <c r="L6" s="38"/>
      <c r="M6" s="38"/>
      <c r="N6" s="38"/>
      <c r="O6" s="38"/>
      <c r="P6" s="38"/>
      <c r="Q6" s="38"/>
      <c r="R6" s="38"/>
      <c r="S6" s="35"/>
    </row>
    <row r="7" spans="2:19" ht="12.75">
      <c r="B7" s="46"/>
      <c r="C7" s="38"/>
      <c r="D7" s="38"/>
      <c r="E7" s="38"/>
      <c r="F7" s="38"/>
      <c r="G7" s="38"/>
      <c r="H7" s="38"/>
      <c r="I7" s="38"/>
      <c r="J7" s="38"/>
      <c r="K7" s="38"/>
      <c r="L7" s="38"/>
      <c r="M7" s="38"/>
      <c r="N7" s="38"/>
      <c r="O7" s="38"/>
      <c r="P7" s="38"/>
      <c r="Q7" s="38"/>
      <c r="R7" s="38"/>
      <c r="S7" s="35"/>
    </row>
    <row r="8" spans="2:19" ht="12.75">
      <c r="B8" s="46"/>
      <c r="C8" s="38"/>
      <c r="D8" s="38"/>
      <c r="E8" s="38"/>
      <c r="F8" s="38"/>
      <c r="G8" s="38"/>
      <c r="H8" s="38"/>
      <c r="I8" s="38"/>
      <c r="J8" s="47"/>
      <c r="K8" s="38"/>
      <c r="L8" s="38"/>
      <c r="M8" s="38"/>
      <c r="N8" s="38"/>
      <c r="O8" s="38"/>
      <c r="P8" s="38"/>
      <c r="Q8" s="38"/>
      <c r="R8" s="38"/>
      <c r="S8" s="35"/>
    </row>
    <row r="9" spans="2:19" ht="12.75">
      <c r="B9" s="46"/>
      <c r="C9" s="38"/>
      <c r="D9" s="38"/>
      <c r="E9" s="38"/>
      <c r="F9" s="38"/>
      <c r="G9" s="38"/>
      <c r="H9" s="38"/>
      <c r="I9" s="38"/>
      <c r="J9" s="47"/>
      <c r="K9" s="38"/>
      <c r="L9" s="38"/>
      <c r="M9" s="38"/>
      <c r="N9" s="38"/>
      <c r="O9" s="38"/>
      <c r="P9" s="38"/>
      <c r="Q9" s="38"/>
      <c r="R9" s="38"/>
      <c r="S9" s="35"/>
    </row>
    <row r="10" spans="2:19" ht="12.75">
      <c r="B10" s="46"/>
      <c r="C10" s="54" t="s">
        <v>25</v>
      </c>
      <c r="D10" s="38"/>
      <c r="E10" s="39"/>
      <c r="F10" s="38"/>
      <c r="G10" s="38"/>
      <c r="H10" s="38"/>
      <c r="I10" s="38"/>
      <c r="J10" s="133"/>
      <c r="K10" s="47" t="s">
        <v>149</v>
      </c>
      <c r="L10" s="38"/>
      <c r="M10" s="38"/>
      <c r="N10" s="38"/>
      <c r="O10" s="38"/>
      <c r="P10" s="38"/>
      <c r="Q10" s="38"/>
      <c r="R10" s="38"/>
      <c r="S10" s="35"/>
    </row>
    <row r="11" spans="2:19" ht="12.75">
      <c r="B11" s="46"/>
      <c r="C11" s="36" t="s">
        <v>155</v>
      </c>
      <c r="D11" s="36" t="s">
        <v>156</v>
      </c>
      <c r="E11" s="36" t="s">
        <v>27</v>
      </c>
      <c r="F11" s="36" t="s">
        <v>131</v>
      </c>
      <c r="G11" s="36" t="s">
        <v>133</v>
      </c>
      <c r="H11" s="179" t="s">
        <v>135</v>
      </c>
      <c r="I11" s="179"/>
      <c r="J11" s="133"/>
      <c r="K11" s="47" t="s">
        <v>150</v>
      </c>
      <c r="L11" s="38"/>
      <c r="M11" s="38"/>
      <c r="N11" s="182" t="s">
        <v>148</v>
      </c>
      <c r="O11" s="182"/>
      <c r="P11" s="182"/>
      <c r="Q11" s="38"/>
      <c r="R11" s="38"/>
      <c r="S11" s="35"/>
    </row>
    <row r="12" spans="2:19" ht="12.75">
      <c r="B12" s="46"/>
      <c r="C12" s="36" t="s">
        <v>29</v>
      </c>
      <c r="D12" s="36" t="s">
        <v>29</v>
      </c>
      <c r="E12" s="36" t="s">
        <v>26</v>
      </c>
      <c r="F12" s="36" t="s">
        <v>134</v>
      </c>
      <c r="G12" s="36" t="s">
        <v>134</v>
      </c>
      <c r="H12" s="179" t="s">
        <v>136</v>
      </c>
      <c r="I12" s="179"/>
      <c r="J12" s="133"/>
      <c r="K12" s="47" t="s">
        <v>117</v>
      </c>
      <c r="L12" s="38"/>
      <c r="M12" s="38"/>
      <c r="N12" s="36" t="s">
        <v>133</v>
      </c>
      <c r="O12" s="36" t="s">
        <v>147</v>
      </c>
      <c r="P12" s="36" t="s">
        <v>118</v>
      </c>
      <c r="Q12" s="38"/>
      <c r="R12" s="38"/>
      <c r="S12" s="35"/>
    </row>
    <row r="13" spans="2:19" ht="12.75">
      <c r="B13" s="46"/>
      <c r="C13" s="161">
        <v>1.5</v>
      </c>
      <c r="D13" s="161">
        <v>1.25</v>
      </c>
      <c r="E13" s="162">
        <v>68</v>
      </c>
      <c r="F13" s="132">
        <f>(I19+E22)/I20*100</f>
        <v>24.981025483616268</v>
      </c>
      <c r="G13" s="130">
        <f>I19/I20*100</f>
        <v>15.001161716332511</v>
      </c>
      <c r="H13" s="180">
        <f>IF(E22,100,E21/I18/I19*100)</f>
        <v>100</v>
      </c>
      <c r="I13" s="181"/>
      <c r="J13" s="133"/>
      <c r="K13" s="163">
        <v>0.45</v>
      </c>
      <c r="L13" s="38"/>
      <c r="M13" s="38"/>
      <c r="N13" s="131">
        <f>K13*I16/(I16+E20)</f>
        <v>0.32623574144486694</v>
      </c>
      <c r="O13" s="131">
        <f>K13*(E22*E19)/(I16+E20)</f>
        <v>0.07729193071398394</v>
      </c>
      <c r="P13" s="131">
        <f>K13*((I18*I19)*(H13/100)*E19)/(I16+E20)</f>
        <v>0.046472327841149144</v>
      </c>
      <c r="Q13" s="38"/>
      <c r="R13" s="38"/>
      <c r="S13" s="35"/>
    </row>
    <row r="14" spans="2:19" ht="12.75">
      <c r="B14" s="46"/>
      <c r="C14" s="37"/>
      <c r="D14" s="36" t="s">
        <v>151</v>
      </c>
      <c r="E14" s="40">
        <f>(76.6/C13^0.5)*(E13/100)</f>
        <v>42.529673907363396</v>
      </c>
      <c r="F14" s="64"/>
      <c r="G14" s="63"/>
      <c r="H14" s="37"/>
      <c r="I14" s="37"/>
      <c r="J14" s="38"/>
      <c r="K14" s="38"/>
      <c r="L14" s="38"/>
      <c r="M14" s="38"/>
      <c r="N14" s="38"/>
      <c r="O14" s="38"/>
      <c r="P14" s="38"/>
      <c r="Q14" s="38"/>
      <c r="R14" s="38"/>
      <c r="S14" s="35"/>
    </row>
    <row r="15" spans="2:19" ht="13.5" thickBot="1">
      <c r="B15" s="46"/>
      <c r="C15" s="37"/>
      <c r="D15" s="37"/>
      <c r="E15" s="37"/>
      <c r="F15" s="64"/>
      <c r="G15" s="63"/>
      <c r="H15" s="37"/>
      <c r="I15" s="37"/>
      <c r="J15" s="38"/>
      <c r="K15" s="38"/>
      <c r="L15" s="38"/>
      <c r="M15" s="38"/>
      <c r="N15" s="38"/>
      <c r="O15" s="38"/>
      <c r="P15" s="38"/>
      <c r="Q15" s="38"/>
      <c r="R15" s="38"/>
      <c r="S15" s="35"/>
    </row>
    <row r="16" spans="2:19" ht="12.75">
      <c r="B16" s="46"/>
      <c r="C16" s="65" t="s">
        <v>123</v>
      </c>
      <c r="D16" s="38"/>
      <c r="E16" s="164">
        <v>10.85</v>
      </c>
      <c r="F16" s="38" t="s">
        <v>120</v>
      </c>
      <c r="G16" s="133" t="s">
        <v>128</v>
      </c>
      <c r="H16" s="133"/>
      <c r="I16" s="164">
        <v>44</v>
      </c>
      <c r="J16" s="38" t="s">
        <v>120</v>
      </c>
      <c r="K16" s="133"/>
      <c r="L16" s="139" t="s">
        <v>143</v>
      </c>
      <c r="M16" s="38"/>
      <c r="N16" s="38"/>
      <c r="O16" s="65" t="s">
        <v>141</v>
      </c>
      <c r="P16" s="38"/>
      <c r="Q16" s="166">
        <v>60</v>
      </c>
      <c r="R16" s="133" t="s">
        <v>138</v>
      </c>
      <c r="S16" s="35"/>
    </row>
    <row r="17" spans="2:19" ht="12.75">
      <c r="B17" s="46"/>
      <c r="C17" s="65" t="s">
        <v>122</v>
      </c>
      <c r="D17" s="38"/>
      <c r="E17" s="165">
        <v>2.6</v>
      </c>
      <c r="F17" s="38" t="s">
        <v>119</v>
      </c>
      <c r="G17" s="65" t="s">
        <v>129</v>
      </c>
      <c r="H17" s="38"/>
      <c r="I17" s="161">
        <v>7.8</v>
      </c>
      <c r="J17" s="38" t="s">
        <v>119</v>
      </c>
      <c r="K17" s="133"/>
      <c r="L17" s="140" t="s">
        <v>131</v>
      </c>
      <c r="M17" s="38"/>
      <c r="N17" s="38"/>
      <c r="O17" s="133"/>
      <c r="P17" s="133"/>
      <c r="Q17" s="133"/>
      <c r="R17" s="133"/>
      <c r="S17" s="35"/>
    </row>
    <row r="18" spans="2:19" ht="12.75">
      <c r="B18" s="46"/>
      <c r="C18" s="65" t="s">
        <v>23</v>
      </c>
      <c r="D18" s="38"/>
      <c r="E18" s="162">
        <v>65</v>
      </c>
      <c r="F18" s="38" t="s">
        <v>127</v>
      </c>
      <c r="G18" s="65" t="s">
        <v>153</v>
      </c>
      <c r="H18" s="38"/>
      <c r="I18" s="161">
        <v>0.4</v>
      </c>
      <c r="J18" s="38" t="s">
        <v>154</v>
      </c>
      <c r="K18" s="133"/>
      <c r="L18" s="140" t="s">
        <v>132</v>
      </c>
      <c r="M18" s="38"/>
      <c r="N18" s="133"/>
      <c r="O18" s="129" t="s">
        <v>142</v>
      </c>
      <c r="P18" s="38"/>
      <c r="Q18" s="40">
        <f>K13*(Q$16/60)/(E$16/1000)</f>
        <v>41.474654377880185</v>
      </c>
      <c r="R18" s="133" t="s">
        <v>139</v>
      </c>
      <c r="S18" s="35"/>
    </row>
    <row r="19" spans="2:19" ht="12.75">
      <c r="B19" s="46"/>
      <c r="C19" s="65" t="s">
        <v>124</v>
      </c>
      <c r="D19" s="133"/>
      <c r="E19" s="131">
        <f>E20/E21</f>
        <v>1.6666666666666667</v>
      </c>
      <c r="F19" s="38" t="s">
        <v>119</v>
      </c>
      <c r="G19" s="133" t="s">
        <v>152</v>
      </c>
      <c r="H19" s="38"/>
      <c r="I19" s="130">
        <f>I16/((1-I18)*I17)</f>
        <v>9.401709401709402</v>
      </c>
      <c r="J19" s="38" t="s">
        <v>126</v>
      </c>
      <c r="K19" s="133"/>
      <c r="L19" s="141" t="s">
        <v>30</v>
      </c>
      <c r="M19" s="38"/>
      <c r="N19" s="38"/>
      <c r="O19" s="53" t="s">
        <v>140</v>
      </c>
      <c r="P19" s="54"/>
      <c r="Q19" s="137">
        <f>N13*(Q$16/60)/(E$16/1000)</f>
        <v>30.067810271416306</v>
      </c>
      <c r="R19" s="134" t="s">
        <v>139</v>
      </c>
      <c r="S19" s="35"/>
    </row>
    <row r="20" spans="2:19" ht="13.5" thickBot="1">
      <c r="B20" s="46"/>
      <c r="C20" s="65" t="s">
        <v>121</v>
      </c>
      <c r="D20" s="133"/>
      <c r="E20" s="130">
        <f>E16/E18*100</f>
        <v>16.692307692307693</v>
      </c>
      <c r="F20" s="38" t="s">
        <v>120</v>
      </c>
      <c r="G20" s="38" t="s">
        <v>130</v>
      </c>
      <c r="H20" s="38"/>
      <c r="I20" s="130">
        <f>PI()*(C13*30.5)^2*(D13*30.5)/4/1000</f>
        <v>62.673208778712734</v>
      </c>
      <c r="J20" s="38" t="s">
        <v>126</v>
      </c>
      <c r="K20" s="133"/>
      <c r="L20" s="142">
        <f>(I16+E20)/(I19+E22)</f>
        <v>3.876514903373731</v>
      </c>
      <c r="M20" s="38"/>
      <c r="N20" s="38"/>
      <c r="O20" s="38"/>
      <c r="P20" s="38"/>
      <c r="Q20" s="38"/>
      <c r="R20" s="38"/>
      <c r="S20" s="35"/>
    </row>
    <row r="21" spans="2:19" ht="12.75">
      <c r="B21" s="46"/>
      <c r="C21" s="65" t="s">
        <v>125</v>
      </c>
      <c r="D21" s="65"/>
      <c r="E21" s="130">
        <f>E16/E17+(E20-E16)</f>
        <v>10.015384615384615</v>
      </c>
      <c r="F21" s="38" t="s">
        <v>126</v>
      </c>
      <c r="G21" s="38"/>
      <c r="H21" s="38"/>
      <c r="I21" s="38"/>
      <c r="J21" s="38"/>
      <c r="K21" s="38"/>
      <c r="L21" s="38"/>
      <c r="M21" s="38"/>
      <c r="N21" s="38"/>
      <c r="O21" s="38"/>
      <c r="P21" s="38"/>
      <c r="Q21" s="38"/>
      <c r="R21" s="38"/>
      <c r="S21" s="35"/>
    </row>
    <row r="22" spans="2:19" ht="13.5" thickBot="1">
      <c r="B22" s="46"/>
      <c r="C22" s="135" t="s">
        <v>137</v>
      </c>
      <c r="D22" s="135"/>
      <c r="E22" s="138">
        <f>IF(E21&gt;I18*I19,E21-I18*I19,0)</f>
        <v>6.254700854700854</v>
      </c>
      <c r="F22" s="136" t="s">
        <v>126</v>
      </c>
      <c r="G22" s="38"/>
      <c r="H22" s="38"/>
      <c r="I22" s="38"/>
      <c r="J22" s="38"/>
      <c r="K22" s="38"/>
      <c r="L22" s="38"/>
      <c r="M22" s="38"/>
      <c r="N22" s="38"/>
      <c r="O22" s="38"/>
      <c r="P22" s="38"/>
      <c r="Q22" s="38"/>
      <c r="R22" s="38"/>
      <c r="S22" s="35"/>
    </row>
    <row r="23" spans="2:19" ht="18" customHeight="1" thickBot="1" thickTop="1">
      <c r="B23" s="46"/>
      <c r="C23" s="133"/>
      <c r="D23" s="133"/>
      <c r="E23" s="133"/>
      <c r="F23" s="133"/>
      <c r="G23" s="185" t="s">
        <v>39</v>
      </c>
      <c r="H23" s="186"/>
      <c r="I23" s="186"/>
      <c r="J23" s="186"/>
      <c r="K23" s="186"/>
      <c r="L23" s="187"/>
      <c r="M23" s="66"/>
      <c r="N23" s="185" t="s">
        <v>41</v>
      </c>
      <c r="O23" s="186"/>
      <c r="P23" s="186"/>
      <c r="Q23" s="186"/>
      <c r="R23" s="187"/>
      <c r="S23" s="35"/>
    </row>
    <row r="24" spans="2:19" ht="18" customHeight="1" thickTop="1">
      <c r="B24" s="46"/>
      <c r="C24" s="85"/>
      <c r="D24" s="85"/>
      <c r="E24" s="85"/>
      <c r="F24" s="85"/>
      <c r="G24" s="177" t="s">
        <v>40</v>
      </c>
      <c r="H24" s="178"/>
      <c r="I24" s="177" t="s">
        <v>79</v>
      </c>
      <c r="J24" s="178"/>
      <c r="K24" s="177" t="s">
        <v>77</v>
      </c>
      <c r="L24" s="178"/>
      <c r="M24" s="66"/>
      <c r="N24" s="183" t="s">
        <v>159</v>
      </c>
      <c r="O24" s="184"/>
      <c r="P24" s="86" t="s">
        <v>28</v>
      </c>
      <c r="Q24" s="87" t="s">
        <v>42</v>
      </c>
      <c r="R24" s="88" t="s">
        <v>160</v>
      </c>
      <c r="S24" s="35"/>
    </row>
    <row r="25" spans="2:19" ht="18" customHeight="1">
      <c r="B25" s="46"/>
      <c r="C25" s="85" t="s">
        <v>2</v>
      </c>
      <c r="D25" s="85" t="s">
        <v>0</v>
      </c>
      <c r="E25" s="85" t="s">
        <v>1</v>
      </c>
      <c r="F25" s="85" t="s">
        <v>6</v>
      </c>
      <c r="G25" s="89" t="s">
        <v>43</v>
      </c>
      <c r="H25" s="90" t="s">
        <v>44</v>
      </c>
      <c r="I25" s="89" t="s">
        <v>43</v>
      </c>
      <c r="J25" s="90" t="s">
        <v>44</v>
      </c>
      <c r="K25" s="89" t="s">
        <v>43</v>
      </c>
      <c r="L25" s="90" t="s">
        <v>44</v>
      </c>
      <c r="M25" s="66"/>
      <c r="N25" s="89" t="s">
        <v>46</v>
      </c>
      <c r="O25" s="90" t="s">
        <v>47</v>
      </c>
      <c r="P25" s="89" t="s">
        <v>72</v>
      </c>
      <c r="Q25" s="85"/>
      <c r="R25" s="90"/>
      <c r="S25" s="35"/>
    </row>
    <row r="26" spans="2:19" ht="12.75">
      <c r="B26" s="46"/>
      <c r="C26" s="38"/>
      <c r="D26" s="38"/>
      <c r="E26" s="38"/>
      <c r="F26" s="38"/>
      <c r="G26" s="72"/>
      <c r="H26" s="73"/>
      <c r="I26" s="72"/>
      <c r="J26" s="73"/>
      <c r="K26" s="72"/>
      <c r="L26" s="73"/>
      <c r="M26" s="38"/>
      <c r="N26" s="72"/>
      <c r="O26" s="73"/>
      <c r="P26" s="72"/>
      <c r="Q26" s="38"/>
      <c r="R26" s="73"/>
      <c r="S26" s="35"/>
    </row>
    <row r="27" spans="2:24" ht="12.75">
      <c r="B27" s="46"/>
      <c r="C27" s="169">
        <v>1</v>
      </c>
      <c r="D27" s="166">
        <v>1.05</v>
      </c>
      <c r="E27" s="166">
        <v>25400</v>
      </c>
      <c r="F27" s="38"/>
      <c r="G27" s="72"/>
      <c r="H27" s="77">
        <v>100</v>
      </c>
      <c r="I27" s="72"/>
      <c r="J27" s="77">
        <v>100</v>
      </c>
      <c r="K27" s="72"/>
      <c r="L27" s="78">
        <f aca="true" t="shared" si="0" ref="L27:L45">K28+L28</f>
        <v>99.99999999999724</v>
      </c>
      <c r="M27" s="38"/>
      <c r="N27" s="81"/>
      <c r="O27" s="73"/>
      <c r="P27" s="72"/>
      <c r="Q27" s="38"/>
      <c r="R27" s="73"/>
      <c r="S27" s="35"/>
      <c r="V27" s="6"/>
      <c r="W27" s="6"/>
      <c r="X27" s="6"/>
    </row>
    <row r="28" spans="2:24" ht="12.75">
      <c r="B28" s="46"/>
      <c r="C28" s="169">
        <f aca="true" t="shared" si="1" ref="C28:C46">C27+1</f>
        <v>2</v>
      </c>
      <c r="D28" s="166">
        <v>0.742</v>
      </c>
      <c r="E28" s="167">
        <v>19050</v>
      </c>
      <c r="F28" s="69">
        <f aca="true" t="shared" si="2" ref="F28:F46">(E27*E28)^0.5</f>
        <v>21997.04525612474</v>
      </c>
      <c r="G28" s="74">
        <f aca="true" t="shared" si="3" ref="G28:G46">H27-H28</f>
        <v>0</v>
      </c>
      <c r="H28" s="168">
        <v>100</v>
      </c>
      <c r="I28" s="74">
        <f aca="true" t="shared" si="4" ref="I28:I46">J27-J28</f>
        <v>100</v>
      </c>
      <c r="J28" s="168"/>
      <c r="K28" s="74">
        <f>Model!AA235</f>
        <v>-1.5778784903428632E-17</v>
      </c>
      <c r="L28" s="79">
        <f t="shared" si="0"/>
        <v>99.99999999999724</v>
      </c>
      <c r="M28" s="38"/>
      <c r="N28" s="74">
        <f>J28</f>
        <v>0</v>
      </c>
      <c r="O28" s="78">
        <f>L28</f>
        <v>99.99999999999724</v>
      </c>
      <c r="P28" s="82">
        <f>IF(N28*O28&gt;1,(N28-O28)/O28*100,0)</f>
        <v>0</v>
      </c>
      <c r="Q28" s="166">
        <v>1</v>
      </c>
      <c r="R28" s="78">
        <f>Q28*P28^2</f>
        <v>0</v>
      </c>
      <c r="S28" s="35"/>
      <c r="V28" s="6"/>
      <c r="W28" s="6"/>
      <c r="X28" s="6"/>
    </row>
    <row r="29" spans="2:24" ht="12.75">
      <c r="B29" s="46"/>
      <c r="C29" s="169">
        <f t="shared" si="1"/>
        <v>3</v>
      </c>
      <c r="D29" s="166">
        <v>0.525</v>
      </c>
      <c r="E29" s="167">
        <v>12700</v>
      </c>
      <c r="F29" s="70">
        <f t="shared" si="2"/>
        <v>15554.259866673181</v>
      </c>
      <c r="G29" s="75">
        <f t="shared" si="3"/>
        <v>2.3521687142846304</v>
      </c>
      <c r="H29" s="168">
        <v>97.64783128571537</v>
      </c>
      <c r="I29" s="75">
        <f t="shared" si="4"/>
        <v>0</v>
      </c>
      <c r="J29" s="168"/>
      <c r="K29" s="75">
        <f>Model!AA236</f>
        <v>7.059665814826709E-07</v>
      </c>
      <c r="L29" s="79">
        <f t="shared" si="0"/>
        <v>99.99999929403066</v>
      </c>
      <c r="M29" s="38"/>
      <c r="N29" s="75">
        <f aca="true" t="shared" si="5" ref="N29:N46">J29</f>
        <v>0</v>
      </c>
      <c r="O29" s="79">
        <f aca="true" t="shared" si="6" ref="O29:O46">L29</f>
        <v>99.99999929403066</v>
      </c>
      <c r="P29" s="83">
        <f aca="true" t="shared" si="7" ref="P29:P47">IF(N29*O29&gt;1,(N29-O29)/O29*100,0)</f>
        <v>0</v>
      </c>
      <c r="Q29" s="166">
        <v>1</v>
      </c>
      <c r="R29" s="79">
        <f aca="true" t="shared" si="8" ref="R29:R46">Q29*P29^2</f>
        <v>0</v>
      </c>
      <c r="S29" s="35"/>
      <c r="V29" s="6"/>
      <c r="W29" s="6"/>
      <c r="X29" s="6"/>
    </row>
    <row r="30" spans="2:24" ht="12.75">
      <c r="B30" s="46"/>
      <c r="C30" s="169">
        <f t="shared" si="1"/>
        <v>4</v>
      </c>
      <c r="D30" s="166">
        <v>0.371</v>
      </c>
      <c r="E30" s="167">
        <v>9500</v>
      </c>
      <c r="F30" s="70">
        <f t="shared" si="2"/>
        <v>10984.079387914127</v>
      </c>
      <c r="G30" s="75">
        <f t="shared" si="3"/>
        <v>6.648206472553895</v>
      </c>
      <c r="H30" s="168">
        <v>90.99962481316147</v>
      </c>
      <c r="I30" s="75">
        <f t="shared" si="4"/>
        <v>0</v>
      </c>
      <c r="J30" s="168"/>
      <c r="K30" s="75">
        <f>Model!AA237</f>
        <v>5.970609622446379E-07</v>
      </c>
      <c r="L30" s="79">
        <f t="shared" si="0"/>
        <v>99.9999986969697</v>
      </c>
      <c r="M30" s="38"/>
      <c r="N30" s="75">
        <f t="shared" si="5"/>
        <v>0</v>
      </c>
      <c r="O30" s="79">
        <f t="shared" si="6"/>
        <v>99.9999986969697</v>
      </c>
      <c r="P30" s="83">
        <f t="shared" si="7"/>
        <v>0</v>
      </c>
      <c r="Q30" s="166">
        <v>1</v>
      </c>
      <c r="R30" s="79">
        <f t="shared" si="8"/>
        <v>0</v>
      </c>
      <c r="S30" s="35"/>
      <c r="V30" s="6"/>
      <c r="W30" s="6"/>
      <c r="X30" s="6"/>
    </row>
    <row r="31" spans="2:24" ht="12.75">
      <c r="B31" s="46"/>
      <c r="C31" s="169">
        <f t="shared" si="1"/>
        <v>5</v>
      </c>
      <c r="D31" s="166">
        <v>3</v>
      </c>
      <c r="E31" s="167">
        <v>6700</v>
      </c>
      <c r="F31" s="70">
        <f t="shared" si="2"/>
        <v>7978.095010715278</v>
      </c>
      <c r="G31" s="75">
        <f t="shared" si="3"/>
        <v>5.979403946226071</v>
      </c>
      <c r="H31" s="168">
        <v>85.0202208669354</v>
      </c>
      <c r="I31" s="75">
        <f t="shared" si="4"/>
        <v>0</v>
      </c>
      <c r="J31" s="168"/>
      <c r="K31" s="75">
        <f>Model!AA238</f>
        <v>5.485296784867216E-07</v>
      </c>
      <c r="L31" s="79">
        <f t="shared" si="0"/>
        <v>99.99999814844001</v>
      </c>
      <c r="M31" s="38"/>
      <c r="N31" s="75">
        <f t="shared" si="5"/>
        <v>0</v>
      </c>
      <c r="O31" s="79">
        <f t="shared" si="6"/>
        <v>99.99999814844001</v>
      </c>
      <c r="P31" s="83">
        <f t="shared" si="7"/>
        <v>0</v>
      </c>
      <c r="Q31" s="166">
        <v>1</v>
      </c>
      <c r="R31" s="79">
        <f t="shared" si="8"/>
        <v>0</v>
      </c>
      <c r="S31" s="35"/>
      <c r="V31" s="6"/>
      <c r="W31" s="6"/>
      <c r="X31" s="6"/>
    </row>
    <row r="32" spans="2:24" ht="12.75">
      <c r="B32" s="46"/>
      <c r="C32" s="169">
        <f t="shared" si="1"/>
        <v>6</v>
      </c>
      <c r="D32" s="166">
        <v>4</v>
      </c>
      <c r="E32" s="167">
        <v>4750</v>
      </c>
      <c r="F32" s="70">
        <f t="shared" si="2"/>
        <v>5641.365083027334</v>
      </c>
      <c r="G32" s="75">
        <f t="shared" si="3"/>
        <v>4.826468036888059</v>
      </c>
      <c r="H32" s="168">
        <v>80.19375283004734</v>
      </c>
      <c r="I32" s="75">
        <f t="shared" si="4"/>
        <v>0</v>
      </c>
      <c r="J32" s="168"/>
      <c r="K32" s="75">
        <f>Model!AA239</f>
        <v>5.098189361229229E-07</v>
      </c>
      <c r="L32" s="79">
        <f t="shared" si="0"/>
        <v>99.99999763862108</v>
      </c>
      <c r="M32" s="38"/>
      <c r="N32" s="75">
        <f t="shared" si="5"/>
        <v>0</v>
      </c>
      <c r="O32" s="79">
        <f t="shared" si="6"/>
        <v>99.99999763862108</v>
      </c>
      <c r="P32" s="83">
        <f t="shared" si="7"/>
        <v>0</v>
      </c>
      <c r="Q32" s="166">
        <v>1</v>
      </c>
      <c r="R32" s="79">
        <f t="shared" si="8"/>
        <v>0</v>
      </c>
      <c r="S32" s="35"/>
      <c r="V32" s="6"/>
      <c r="W32" s="6"/>
      <c r="X32" s="6"/>
    </row>
    <row r="33" spans="2:24" ht="12.75">
      <c r="B33" s="46"/>
      <c r="C33" s="169">
        <f t="shared" si="1"/>
        <v>7</v>
      </c>
      <c r="D33" s="166">
        <v>6</v>
      </c>
      <c r="E33" s="167">
        <v>3350</v>
      </c>
      <c r="F33" s="70">
        <f t="shared" si="2"/>
        <v>3989.047505357639</v>
      </c>
      <c r="G33" s="75">
        <f t="shared" si="3"/>
        <v>4.429999010272184</v>
      </c>
      <c r="H33" s="168">
        <v>75.76375381977516</v>
      </c>
      <c r="I33" s="75">
        <f t="shared" si="4"/>
        <v>0</v>
      </c>
      <c r="J33" s="168"/>
      <c r="K33" s="75">
        <f>Model!AA240</f>
        <v>5.798635133555414E-07</v>
      </c>
      <c r="L33" s="79">
        <f t="shared" si="0"/>
        <v>99.99999705875757</v>
      </c>
      <c r="M33" s="38"/>
      <c r="N33" s="75">
        <f t="shared" si="5"/>
        <v>0</v>
      </c>
      <c r="O33" s="79">
        <f t="shared" si="6"/>
        <v>99.99999705875757</v>
      </c>
      <c r="P33" s="83">
        <f t="shared" si="7"/>
        <v>0</v>
      </c>
      <c r="Q33" s="166">
        <v>1</v>
      </c>
      <c r="R33" s="79">
        <f t="shared" si="8"/>
        <v>0</v>
      </c>
      <c r="S33" s="35"/>
      <c r="V33" s="6"/>
      <c r="W33" s="6"/>
      <c r="X33" s="6"/>
    </row>
    <row r="34" spans="2:24" ht="12.75">
      <c r="B34" s="46"/>
      <c r="C34" s="169">
        <f t="shared" si="1"/>
        <v>8</v>
      </c>
      <c r="D34" s="166">
        <v>8</v>
      </c>
      <c r="E34" s="167">
        <v>2360</v>
      </c>
      <c r="F34" s="70">
        <f t="shared" si="2"/>
        <v>2811.761014026619</v>
      </c>
      <c r="G34" s="75">
        <f t="shared" si="3"/>
        <v>4.405554887767536</v>
      </c>
      <c r="H34" s="168">
        <v>71.35819893200762</v>
      </c>
      <c r="I34" s="75">
        <f t="shared" si="4"/>
        <v>0</v>
      </c>
      <c r="J34" s="168"/>
      <c r="K34" s="75">
        <f>Model!AA241</f>
        <v>7.908902884215374E-07</v>
      </c>
      <c r="L34" s="79">
        <f t="shared" si="0"/>
        <v>99.99999626786729</v>
      </c>
      <c r="M34" s="38"/>
      <c r="N34" s="75">
        <f t="shared" si="5"/>
        <v>0</v>
      </c>
      <c r="O34" s="79">
        <f t="shared" si="6"/>
        <v>99.99999626786729</v>
      </c>
      <c r="P34" s="83">
        <f t="shared" si="7"/>
        <v>0</v>
      </c>
      <c r="Q34" s="166">
        <v>1</v>
      </c>
      <c r="R34" s="79">
        <f t="shared" si="8"/>
        <v>0</v>
      </c>
      <c r="S34" s="35"/>
      <c r="V34" s="6"/>
      <c r="W34" s="6"/>
      <c r="X34" s="6"/>
    </row>
    <row r="35" spans="2:24" ht="12.75">
      <c r="B35" s="46"/>
      <c r="C35" s="169">
        <f t="shared" si="1"/>
        <v>9</v>
      </c>
      <c r="D35" s="166">
        <v>10</v>
      </c>
      <c r="E35" s="167">
        <v>1700</v>
      </c>
      <c r="F35" s="70">
        <f t="shared" si="2"/>
        <v>2002.9977533686852</v>
      </c>
      <c r="G35" s="75">
        <f t="shared" si="3"/>
        <v>4.488917081834202</v>
      </c>
      <c r="H35" s="168">
        <v>66.86928185017342</v>
      </c>
      <c r="I35" s="75">
        <f t="shared" si="4"/>
        <v>0</v>
      </c>
      <c r="J35" s="168"/>
      <c r="K35" s="75">
        <f>Model!AA242</f>
        <v>1.2229310183130903E-06</v>
      </c>
      <c r="L35" s="79">
        <f t="shared" si="0"/>
        <v>99.99999504493627</v>
      </c>
      <c r="M35" s="38"/>
      <c r="N35" s="75">
        <f t="shared" si="5"/>
        <v>0</v>
      </c>
      <c r="O35" s="79">
        <f t="shared" si="6"/>
        <v>99.99999504493627</v>
      </c>
      <c r="P35" s="83">
        <f t="shared" si="7"/>
        <v>0</v>
      </c>
      <c r="Q35" s="166">
        <v>1</v>
      </c>
      <c r="R35" s="79">
        <f t="shared" si="8"/>
        <v>0</v>
      </c>
      <c r="S35" s="35"/>
      <c r="V35" s="6"/>
      <c r="W35" s="6"/>
      <c r="X35" s="6"/>
    </row>
    <row r="36" spans="2:24" ht="12.75">
      <c r="B36" s="46"/>
      <c r="C36" s="169">
        <f t="shared" si="1"/>
        <v>10</v>
      </c>
      <c r="D36" s="166">
        <v>14</v>
      </c>
      <c r="E36" s="167">
        <v>1180</v>
      </c>
      <c r="F36" s="70">
        <f t="shared" si="2"/>
        <v>1416.333294108417</v>
      </c>
      <c r="G36" s="75">
        <f t="shared" si="3"/>
        <v>5.38413927092936</v>
      </c>
      <c r="H36" s="168">
        <v>61.48514257924406</v>
      </c>
      <c r="I36" s="75">
        <f t="shared" si="4"/>
        <v>0</v>
      </c>
      <c r="J36" s="168"/>
      <c r="K36" s="75">
        <f>Model!AA243</f>
        <v>2.453674822469568E-06</v>
      </c>
      <c r="L36" s="79">
        <f t="shared" si="0"/>
        <v>99.99999259126145</v>
      </c>
      <c r="M36" s="38"/>
      <c r="N36" s="75">
        <f t="shared" si="5"/>
        <v>0</v>
      </c>
      <c r="O36" s="79">
        <f t="shared" si="6"/>
        <v>99.99999259126145</v>
      </c>
      <c r="P36" s="83">
        <f t="shared" si="7"/>
        <v>0</v>
      </c>
      <c r="Q36" s="166">
        <v>1</v>
      </c>
      <c r="R36" s="79">
        <f t="shared" si="8"/>
        <v>0</v>
      </c>
      <c r="S36" s="35"/>
      <c r="V36" s="6"/>
      <c r="W36" s="6"/>
      <c r="X36" s="6"/>
    </row>
    <row r="37" spans="2:24" ht="12.75">
      <c r="B37" s="46"/>
      <c r="C37" s="169">
        <f t="shared" si="1"/>
        <v>11</v>
      </c>
      <c r="D37" s="166">
        <v>20</v>
      </c>
      <c r="E37" s="167">
        <v>850</v>
      </c>
      <c r="F37" s="70">
        <f t="shared" si="2"/>
        <v>1001.4988766843426</v>
      </c>
      <c r="G37" s="75">
        <f t="shared" si="3"/>
        <v>5.818658679861379</v>
      </c>
      <c r="H37" s="168">
        <v>55.66648389938268</v>
      </c>
      <c r="I37" s="75">
        <f t="shared" si="4"/>
        <v>0</v>
      </c>
      <c r="J37" s="168"/>
      <c r="K37" s="75">
        <f>Model!AA244</f>
        <v>5.839894025355623E-06</v>
      </c>
      <c r="L37" s="79">
        <f t="shared" si="0"/>
        <v>99.99998675136742</v>
      </c>
      <c r="M37" s="38"/>
      <c r="N37" s="75">
        <f t="shared" si="5"/>
        <v>0</v>
      </c>
      <c r="O37" s="79">
        <f t="shared" si="6"/>
        <v>99.99998675136742</v>
      </c>
      <c r="P37" s="83">
        <f t="shared" si="7"/>
        <v>0</v>
      </c>
      <c r="Q37" s="166">
        <v>1</v>
      </c>
      <c r="R37" s="79">
        <f t="shared" si="8"/>
        <v>0</v>
      </c>
      <c r="S37" s="35"/>
      <c r="V37" s="6"/>
      <c r="W37" s="6"/>
      <c r="X37" s="6"/>
    </row>
    <row r="38" spans="2:24" ht="12.75">
      <c r="B38" s="46"/>
      <c r="C38" s="169">
        <f t="shared" si="1"/>
        <v>12</v>
      </c>
      <c r="D38" s="166">
        <v>28</v>
      </c>
      <c r="E38" s="167">
        <v>600</v>
      </c>
      <c r="F38" s="70">
        <f t="shared" si="2"/>
        <v>714.142842854285</v>
      </c>
      <c r="G38" s="75">
        <f t="shared" si="3"/>
        <v>7.065730286363099</v>
      </c>
      <c r="H38" s="168">
        <v>48.600753613019585</v>
      </c>
      <c r="I38" s="75">
        <f t="shared" si="4"/>
        <v>0</v>
      </c>
      <c r="J38" s="168"/>
      <c r="K38" s="75">
        <f>Model!AA245</f>
        <v>2.445162255165815E-05</v>
      </c>
      <c r="L38" s="79">
        <f t="shared" si="0"/>
        <v>99.99996229974487</v>
      </c>
      <c r="M38" s="38"/>
      <c r="N38" s="75">
        <f t="shared" si="5"/>
        <v>0</v>
      </c>
      <c r="O38" s="79">
        <f t="shared" si="6"/>
        <v>99.99996229974487</v>
      </c>
      <c r="P38" s="83">
        <f t="shared" si="7"/>
        <v>0</v>
      </c>
      <c r="Q38" s="166">
        <v>1</v>
      </c>
      <c r="R38" s="79">
        <f t="shared" si="8"/>
        <v>0</v>
      </c>
      <c r="S38" s="35"/>
      <c r="V38" s="6"/>
      <c r="W38" s="6"/>
      <c r="X38" s="6"/>
    </row>
    <row r="39" spans="2:24" ht="12.75">
      <c r="B39" s="46"/>
      <c r="C39" s="169">
        <f t="shared" si="1"/>
        <v>13</v>
      </c>
      <c r="D39" s="166">
        <v>35</v>
      </c>
      <c r="E39" s="167">
        <v>425</v>
      </c>
      <c r="F39" s="70">
        <f t="shared" si="2"/>
        <v>504.9752469181039</v>
      </c>
      <c r="G39" s="75">
        <f t="shared" si="3"/>
        <v>8.192989253689674</v>
      </c>
      <c r="H39" s="168">
        <v>40.40776435932991</v>
      </c>
      <c r="I39" s="75">
        <f t="shared" si="4"/>
        <v>0</v>
      </c>
      <c r="J39" s="168"/>
      <c r="K39" s="75">
        <f>Model!AA246</f>
        <v>0.00024175855587016564</v>
      </c>
      <c r="L39" s="79">
        <f t="shared" si="0"/>
        <v>99.99972054118899</v>
      </c>
      <c r="M39" s="38"/>
      <c r="N39" s="75">
        <f t="shared" si="5"/>
        <v>0</v>
      </c>
      <c r="O39" s="79">
        <f t="shared" si="6"/>
        <v>99.99972054118899</v>
      </c>
      <c r="P39" s="83">
        <f t="shared" si="7"/>
        <v>0</v>
      </c>
      <c r="Q39" s="166">
        <v>1</v>
      </c>
      <c r="R39" s="79">
        <f t="shared" si="8"/>
        <v>0</v>
      </c>
      <c r="S39" s="35"/>
      <c r="V39" s="6"/>
      <c r="W39" s="6"/>
      <c r="X39" s="6"/>
    </row>
    <row r="40" spans="2:24" ht="12.75">
      <c r="B40" s="46"/>
      <c r="C40" s="169">
        <f t="shared" si="1"/>
        <v>14</v>
      </c>
      <c r="D40" s="166">
        <v>48</v>
      </c>
      <c r="E40" s="167">
        <v>300</v>
      </c>
      <c r="F40" s="70">
        <f t="shared" si="2"/>
        <v>357.0714214271425</v>
      </c>
      <c r="G40" s="75">
        <f t="shared" si="3"/>
        <v>8.723024984780583</v>
      </c>
      <c r="H40" s="168">
        <v>31.684739374549327</v>
      </c>
      <c r="I40" s="75">
        <f t="shared" si="4"/>
        <v>0</v>
      </c>
      <c r="J40" s="168"/>
      <c r="K40" s="75">
        <f>Model!AA247</f>
        <v>0.003276718765608447</v>
      </c>
      <c r="L40" s="79">
        <f t="shared" si="0"/>
        <v>99.99644382242339</v>
      </c>
      <c r="M40" s="38"/>
      <c r="N40" s="75">
        <f t="shared" si="5"/>
        <v>0</v>
      </c>
      <c r="O40" s="79">
        <f t="shared" si="6"/>
        <v>99.99644382242339</v>
      </c>
      <c r="P40" s="83">
        <f t="shared" si="7"/>
        <v>0</v>
      </c>
      <c r="Q40" s="166">
        <v>1</v>
      </c>
      <c r="R40" s="79">
        <f t="shared" si="8"/>
        <v>0</v>
      </c>
      <c r="S40" s="35"/>
      <c r="V40" s="6"/>
      <c r="W40" s="6"/>
      <c r="X40" s="6"/>
    </row>
    <row r="41" spans="2:24" ht="12.75">
      <c r="B41" s="46"/>
      <c r="C41" s="169">
        <f t="shared" si="1"/>
        <v>15</v>
      </c>
      <c r="D41" s="166">
        <v>65</v>
      </c>
      <c r="E41" s="167">
        <v>212</v>
      </c>
      <c r="F41" s="70">
        <f t="shared" si="2"/>
        <v>252.19040425836982</v>
      </c>
      <c r="G41" s="75">
        <f t="shared" si="3"/>
        <v>7.717035822520867</v>
      </c>
      <c r="H41" s="168">
        <v>23.96770355202846</v>
      </c>
      <c r="I41" s="75">
        <f t="shared" si="4"/>
        <v>0</v>
      </c>
      <c r="J41" s="168"/>
      <c r="K41" s="75">
        <f>Model!AA248</f>
        <v>0.03269756958310217</v>
      </c>
      <c r="L41" s="79">
        <f t="shared" si="0"/>
        <v>99.96374625284028</v>
      </c>
      <c r="M41" s="38"/>
      <c r="N41" s="75">
        <f t="shared" si="5"/>
        <v>0</v>
      </c>
      <c r="O41" s="79">
        <f t="shared" si="6"/>
        <v>99.96374625284028</v>
      </c>
      <c r="P41" s="83">
        <f t="shared" si="7"/>
        <v>0</v>
      </c>
      <c r="Q41" s="166">
        <v>1</v>
      </c>
      <c r="R41" s="79">
        <f t="shared" si="8"/>
        <v>0</v>
      </c>
      <c r="S41" s="35"/>
      <c r="V41" s="6"/>
      <c r="W41" s="6"/>
      <c r="X41" s="6"/>
    </row>
    <row r="42" spans="2:24" ht="12.75">
      <c r="B42" s="46"/>
      <c r="C42" s="169">
        <f t="shared" si="1"/>
        <v>16</v>
      </c>
      <c r="D42" s="166">
        <v>100</v>
      </c>
      <c r="E42" s="167">
        <v>150</v>
      </c>
      <c r="F42" s="70">
        <f t="shared" si="2"/>
        <v>178.3255450012701</v>
      </c>
      <c r="G42" s="75">
        <f t="shared" si="3"/>
        <v>5.749988215490674</v>
      </c>
      <c r="H42" s="168">
        <v>18.217715336537786</v>
      </c>
      <c r="I42" s="75">
        <f t="shared" si="4"/>
        <v>0</v>
      </c>
      <c r="J42" s="168"/>
      <c r="K42" s="75">
        <f>Model!AA249</f>
        <v>0.20798448933314234</v>
      </c>
      <c r="L42" s="79">
        <f t="shared" si="0"/>
        <v>99.75576176350714</v>
      </c>
      <c r="M42" s="38"/>
      <c r="N42" s="75">
        <f t="shared" si="5"/>
        <v>0</v>
      </c>
      <c r="O42" s="79">
        <f t="shared" si="6"/>
        <v>99.75576176350714</v>
      </c>
      <c r="P42" s="83">
        <f t="shared" si="7"/>
        <v>0</v>
      </c>
      <c r="Q42" s="166">
        <v>1</v>
      </c>
      <c r="R42" s="79">
        <f t="shared" si="8"/>
        <v>0</v>
      </c>
      <c r="S42" s="35"/>
      <c r="V42" s="6"/>
      <c r="W42" s="6"/>
      <c r="X42" s="6"/>
    </row>
    <row r="43" spans="2:24" ht="12.75">
      <c r="B43" s="46"/>
      <c r="C43" s="169">
        <f t="shared" si="1"/>
        <v>17</v>
      </c>
      <c r="D43" s="166">
        <v>150</v>
      </c>
      <c r="E43" s="167">
        <v>106</v>
      </c>
      <c r="F43" s="70">
        <f t="shared" si="2"/>
        <v>126.09520212918491</v>
      </c>
      <c r="G43" s="75">
        <f t="shared" si="3"/>
        <v>3.9055221861070226</v>
      </c>
      <c r="H43" s="168">
        <v>14.312193150430764</v>
      </c>
      <c r="I43" s="75">
        <f t="shared" si="4"/>
        <v>0</v>
      </c>
      <c r="J43" s="168"/>
      <c r="K43" s="75">
        <f>Model!AA250</f>
        <v>0.8581275909146748</v>
      </c>
      <c r="L43" s="79">
        <f t="shared" si="0"/>
        <v>98.89763417259246</v>
      </c>
      <c r="M43" s="38"/>
      <c r="N43" s="75">
        <f t="shared" si="5"/>
        <v>0</v>
      </c>
      <c r="O43" s="79">
        <f t="shared" si="6"/>
        <v>98.89763417259246</v>
      </c>
      <c r="P43" s="83">
        <f t="shared" si="7"/>
        <v>0</v>
      </c>
      <c r="Q43" s="166">
        <v>1</v>
      </c>
      <c r="R43" s="79">
        <f t="shared" si="8"/>
        <v>0</v>
      </c>
      <c r="S43" s="35"/>
      <c r="V43" s="6"/>
      <c r="W43" s="6"/>
      <c r="X43" s="6"/>
    </row>
    <row r="44" spans="2:24" ht="12.75">
      <c r="B44" s="46"/>
      <c r="C44" s="169">
        <f t="shared" si="1"/>
        <v>18</v>
      </c>
      <c r="D44" s="166">
        <v>200</v>
      </c>
      <c r="E44" s="167">
        <v>75</v>
      </c>
      <c r="F44" s="70">
        <f t="shared" si="2"/>
        <v>89.16277250063504</v>
      </c>
      <c r="G44" s="75">
        <f t="shared" si="3"/>
        <v>2.585390455427385</v>
      </c>
      <c r="H44" s="168">
        <v>11.726802695003379</v>
      </c>
      <c r="I44" s="75">
        <f t="shared" si="4"/>
        <v>0</v>
      </c>
      <c r="J44" s="168"/>
      <c r="K44" s="75">
        <f>Model!AA251</f>
        <v>2.3855502484250013</v>
      </c>
      <c r="L44" s="79">
        <f t="shared" si="0"/>
        <v>96.51208392416746</v>
      </c>
      <c r="M44" s="38"/>
      <c r="N44" s="75">
        <f t="shared" si="5"/>
        <v>0</v>
      </c>
      <c r="O44" s="79">
        <f t="shared" si="6"/>
        <v>96.51208392416746</v>
      </c>
      <c r="P44" s="83">
        <f t="shared" si="7"/>
        <v>0</v>
      </c>
      <c r="Q44" s="166">
        <v>1</v>
      </c>
      <c r="R44" s="79">
        <f t="shared" si="8"/>
        <v>0</v>
      </c>
      <c r="S44" s="35"/>
      <c r="V44" s="6"/>
      <c r="W44" s="6"/>
      <c r="X44" s="6"/>
    </row>
    <row r="45" spans="2:24" ht="12.75">
      <c r="B45" s="46"/>
      <c r="C45" s="169">
        <f t="shared" si="1"/>
        <v>19</v>
      </c>
      <c r="D45" s="166">
        <v>270</v>
      </c>
      <c r="E45" s="167">
        <v>53</v>
      </c>
      <c r="F45" s="70">
        <f t="shared" si="2"/>
        <v>63.047601064592456</v>
      </c>
      <c r="G45" s="75">
        <f t="shared" si="3"/>
        <v>1.7780521013382948</v>
      </c>
      <c r="H45" s="168">
        <v>9.948750593665084</v>
      </c>
      <c r="I45" s="75">
        <f t="shared" si="4"/>
        <v>0</v>
      </c>
      <c r="J45" s="168"/>
      <c r="K45" s="75">
        <f>Model!AA252</f>
        <v>4.726653232493082</v>
      </c>
      <c r="L45" s="79">
        <f t="shared" si="0"/>
        <v>91.78543069167438</v>
      </c>
      <c r="M45" s="38"/>
      <c r="N45" s="75">
        <f t="shared" si="5"/>
        <v>0</v>
      </c>
      <c r="O45" s="79">
        <f t="shared" si="6"/>
        <v>91.78543069167438</v>
      </c>
      <c r="P45" s="83">
        <f t="shared" si="7"/>
        <v>0</v>
      </c>
      <c r="Q45" s="166">
        <v>1</v>
      </c>
      <c r="R45" s="79">
        <f t="shared" si="8"/>
        <v>0</v>
      </c>
      <c r="S45" s="35"/>
      <c r="V45" s="6"/>
      <c r="W45" s="6"/>
      <c r="X45" s="6"/>
    </row>
    <row r="46" spans="2:24" ht="12.75">
      <c r="B46" s="46"/>
      <c r="C46" s="169">
        <f t="shared" si="1"/>
        <v>20</v>
      </c>
      <c r="D46" s="166">
        <v>400</v>
      </c>
      <c r="E46" s="167">
        <v>38</v>
      </c>
      <c r="F46" s="70">
        <f t="shared" si="2"/>
        <v>44.87761134463375</v>
      </c>
      <c r="G46" s="75">
        <f t="shared" si="3"/>
        <v>1.209752985046892</v>
      </c>
      <c r="H46" s="168">
        <v>8.738997608618192</v>
      </c>
      <c r="I46" s="75">
        <f t="shared" si="4"/>
        <v>0</v>
      </c>
      <c r="J46" s="168"/>
      <c r="K46" s="75">
        <f>Model!AA253</f>
        <v>6.8388577380231075</v>
      </c>
      <c r="L46" s="79">
        <f>K47</f>
        <v>84.94657295365127</v>
      </c>
      <c r="M46" s="38"/>
      <c r="N46" s="75">
        <f t="shared" si="5"/>
        <v>0</v>
      </c>
      <c r="O46" s="79">
        <f t="shared" si="6"/>
        <v>84.94657295365127</v>
      </c>
      <c r="P46" s="83">
        <f t="shared" si="7"/>
        <v>0</v>
      </c>
      <c r="Q46" s="166">
        <v>1</v>
      </c>
      <c r="R46" s="79">
        <f t="shared" si="8"/>
        <v>0</v>
      </c>
      <c r="S46" s="35"/>
      <c r="V46" s="6"/>
      <c r="W46" s="6"/>
      <c r="X46" s="6"/>
    </row>
    <row r="47" spans="2:19" ht="12.75">
      <c r="B47" s="46"/>
      <c r="C47" s="169">
        <v>21</v>
      </c>
      <c r="D47" s="169">
        <f>-D46</f>
        <v>-400</v>
      </c>
      <c r="E47" s="43">
        <v>0</v>
      </c>
      <c r="F47" s="71">
        <f>(E46+E47)/2</f>
        <v>19</v>
      </c>
      <c r="G47" s="76">
        <f>H46</f>
        <v>8.738997608618192</v>
      </c>
      <c r="H47" s="77">
        <v>0</v>
      </c>
      <c r="I47" s="76">
        <f>J46</f>
        <v>0</v>
      </c>
      <c r="J47" s="77">
        <v>0</v>
      </c>
      <c r="K47" s="76">
        <f>Model!AA254</f>
        <v>84.94657295365127</v>
      </c>
      <c r="L47" s="80">
        <v>0</v>
      </c>
      <c r="M47" s="38"/>
      <c r="N47" s="76">
        <v>0</v>
      </c>
      <c r="O47" s="80">
        <v>0</v>
      </c>
      <c r="P47" s="84">
        <f t="shared" si="7"/>
        <v>0</v>
      </c>
      <c r="Q47" s="166">
        <v>0</v>
      </c>
      <c r="R47" s="80">
        <v>0</v>
      </c>
      <c r="S47" s="35"/>
    </row>
    <row r="48" spans="2:19" ht="12.75">
      <c r="B48" s="46"/>
      <c r="C48" s="38"/>
      <c r="D48" s="38"/>
      <c r="E48" s="38"/>
      <c r="F48" s="38"/>
      <c r="G48" s="38"/>
      <c r="H48" s="38"/>
      <c r="I48" s="38"/>
      <c r="J48" s="38"/>
      <c r="K48" s="38"/>
      <c r="L48" s="38"/>
      <c r="M48" s="38"/>
      <c r="N48" s="38"/>
      <c r="O48" s="38"/>
      <c r="P48" s="38"/>
      <c r="Q48" s="38"/>
      <c r="R48" s="38"/>
      <c r="S48" s="35"/>
    </row>
    <row r="49" spans="2:19" ht="12.75">
      <c r="B49" s="46"/>
      <c r="C49" s="38"/>
      <c r="D49" s="38"/>
      <c r="E49" s="38"/>
      <c r="F49" s="38"/>
      <c r="G49" s="38"/>
      <c r="H49" s="38"/>
      <c r="I49" s="38"/>
      <c r="J49" s="38"/>
      <c r="K49" s="38"/>
      <c r="L49" s="38"/>
      <c r="M49" s="38"/>
      <c r="N49" s="38"/>
      <c r="O49" s="38"/>
      <c r="P49" s="54" t="s">
        <v>45</v>
      </c>
      <c r="Q49" s="40">
        <f>SUM(Q28:Q47)</f>
        <v>19</v>
      </c>
      <c r="R49" s="40">
        <f>SUM(R28:R47)</f>
        <v>0</v>
      </c>
      <c r="S49" s="35"/>
    </row>
    <row r="50" spans="2:19" ht="13.5" thickBot="1">
      <c r="B50" s="52"/>
      <c r="C50" s="42"/>
      <c r="D50" s="42"/>
      <c r="E50" s="42"/>
      <c r="F50" s="42"/>
      <c r="G50" s="42"/>
      <c r="H50" s="42"/>
      <c r="I50" s="42"/>
      <c r="J50" s="42"/>
      <c r="K50" s="42"/>
      <c r="L50" s="42"/>
      <c r="M50" s="42"/>
      <c r="N50" s="42"/>
      <c r="O50" s="42"/>
      <c r="P50" s="42"/>
      <c r="Q50" s="42"/>
      <c r="R50" s="42"/>
      <c r="S50" s="41"/>
    </row>
    <row r="51" ht="13.5" thickTop="1"/>
  </sheetData>
  <sheetProtection insertColumns="0" insertRows="0"/>
  <mergeCells count="13">
    <mergeCell ref="N11:P11"/>
    <mergeCell ref="C3:R3"/>
    <mergeCell ref="N24:O24"/>
    <mergeCell ref="N23:R23"/>
    <mergeCell ref="D5:I5"/>
    <mergeCell ref="D6:I6"/>
    <mergeCell ref="G23:L23"/>
    <mergeCell ref="G24:H24"/>
    <mergeCell ref="I24:J24"/>
    <mergeCell ref="K24:L24"/>
    <mergeCell ref="H11:I11"/>
    <mergeCell ref="H12:I12"/>
    <mergeCell ref="H13:I13"/>
  </mergeCells>
  <printOptions gridLines="1" horizontalCentered="1"/>
  <pageMargins left="0.25" right="0.25" top="0.5" bottom="0.75" header="0" footer="0.5"/>
  <pageSetup horizontalDpi="300" verticalDpi="300" orientation="landscape" scale="80" r:id="rId4"/>
  <headerFooter alignWithMargins="0">
    <oddFooter>&amp;L&amp;"Arial,Bold"&amp;8Moly-Cop Tools&amp;"Arial,Regular" / &amp;F&amp;R&amp;8&amp;D / &amp;T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P54"/>
  <sheetViews>
    <sheetView workbookViewId="0" topLeftCell="A1">
      <selection activeCell="A1" sqref="A1"/>
    </sheetView>
  </sheetViews>
  <sheetFormatPr defaultColWidth="11.421875" defaultRowHeight="12.75"/>
  <cols>
    <col min="1" max="1" width="2.7109375" style="0" customWidth="1"/>
    <col min="2" max="2" width="10.7109375" style="0" customWidth="1"/>
    <col min="3" max="3" width="11.7109375" style="0" customWidth="1"/>
    <col min="4" max="4" width="6.7109375" style="0" customWidth="1"/>
    <col min="5" max="6" width="9.7109375" style="0" customWidth="1"/>
    <col min="7" max="7" width="2.7109375" style="0" customWidth="1"/>
    <col min="8" max="8" width="9.7109375" style="0" customWidth="1"/>
    <col min="9" max="9" width="6.7109375" style="0" customWidth="1"/>
    <col min="10" max="10" width="12.7109375" style="0" customWidth="1"/>
    <col min="11" max="11" width="9.7109375" style="0" customWidth="1"/>
    <col min="12" max="12" width="2.7109375" style="0" customWidth="1"/>
    <col min="13" max="16384" width="9.140625" style="0" customWidth="1"/>
  </cols>
  <sheetData>
    <row r="1" spans="2:11" ht="19.5">
      <c r="B1" s="96"/>
      <c r="E1" s="197" t="s">
        <v>163</v>
      </c>
      <c r="F1" s="197"/>
      <c r="G1" s="197"/>
      <c r="H1" s="197"/>
      <c r="J1" s="14" t="s">
        <v>38</v>
      </c>
      <c r="K1" s="15">
        <f>Data_File!R5</f>
        <v>1</v>
      </c>
    </row>
    <row r="2" spans="2:11" ht="16.5">
      <c r="B2" s="196" t="s">
        <v>70</v>
      </c>
      <c r="C2" s="196"/>
      <c r="D2" s="196"/>
      <c r="E2" s="196"/>
      <c r="F2" s="196"/>
      <c r="G2" s="196"/>
      <c r="H2" s="196"/>
      <c r="I2" s="196"/>
      <c r="J2" s="196"/>
      <c r="K2" s="196"/>
    </row>
    <row r="3" spans="2:11" ht="12.75">
      <c r="B3" s="197" t="s">
        <v>71</v>
      </c>
      <c r="C3" s="197"/>
      <c r="D3" s="197"/>
      <c r="E3" s="197"/>
      <c r="F3" s="197"/>
      <c r="G3" s="197"/>
      <c r="H3" s="197"/>
      <c r="I3" s="197"/>
      <c r="J3" s="197"/>
      <c r="K3" s="197"/>
    </row>
    <row r="5" spans="2:11" ht="12.75">
      <c r="B5" t="s">
        <v>35</v>
      </c>
      <c r="C5" s="56" t="str">
        <f>Data_File!D5</f>
        <v> Base Case Example</v>
      </c>
      <c r="D5" s="57"/>
      <c r="E5" s="57"/>
      <c r="F5" s="57"/>
      <c r="G5" s="57"/>
      <c r="H5" s="57"/>
      <c r="I5" s="57"/>
      <c r="J5" s="57"/>
      <c r="K5" s="58"/>
    </row>
    <row r="6" spans="3:11" ht="12.75">
      <c r="C6" s="59" t="str">
        <f>Data_File!D6</f>
        <v> </v>
      </c>
      <c r="D6" s="60"/>
      <c r="E6" s="60"/>
      <c r="F6" s="60"/>
      <c r="G6" s="60"/>
      <c r="H6" s="60"/>
      <c r="I6" s="60"/>
      <c r="J6" s="60"/>
      <c r="K6" s="61"/>
    </row>
    <row r="8" spans="2:11" ht="15.75">
      <c r="B8" s="198" t="s">
        <v>55</v>
      </c>
      <c r="C8" s="198"/>
      <c r="D8" s="198"/>
      <c r="E8" s="198"/>
      <c r="F8" s="198"/>
      <c r="G8" s="198"/>
      <c r="H8" s="198"/>
      <c r="I8" s="198"/>
      <c r="J8" s="198"/>
      <c r="K8" s="198"/>
    </row>
    <row r="9" spans="2:11" ht="12.75">
      <c r="B9" s="199" t="s">
        <v>56</v>
      </c>
      <c r="C9" s="199"/>
      <c r="D9" s="199"/>
      <c r="E9" s="199"/>
      <c r="F9" s="199"/>
      <c r="G9" s="199"/>
      <c r="H9" s="199"/>
      <c r="I9" s="199"/>
      <c r="J9" s="199"/>
      <c r="K9" s="199"/>
    </row>
    <row r="10" spans="2:11" ht="12.75">
      <c r="B10" s="8"/>
      <c r="C10" s="8"/>
      <c r="D10" s="8"/>
      <c r="E10" s="8"/>
      <c r="F10" s="8"/>
      <c r="G10" s="8"/>
      <c r="H10" s="8"/>
      <c r="I10" s="8"/>
      <c r="J10" s="8"/>
      <c r="K10" s="8"/>
    </row>
    <row r="11" spans="2:11" ht="12.75">
      <c r="B11" s="7" t="s">
        <v>59</v>
      </c>
      <c r="D11" s="5">
        <f>Data_File!E16</f>
        <v>10.85</v>
      </c>
      <c r="E11" s="5"/>
      <c r="F11" s="5"/>
      <c r="G11" s="5"/>
      <c r="H11" s="5"/>
      <c r="I11" s="18" t="s">
        <v>157</v>
      </c>
      <c r="J11" s="5"/>
      <c r="K11" s="6">
        <f>Data_File!C13</f>
        <v>1.5</v>
      </c>
    </row>
    <row r="12" spans="2:11" ht="12.75">
      <c r="B12" s="7" t="s">
        <v>58</v>
      </c>
      <c r="D12" s="5">
        <f>D13-D11</f>
        <v>5.842307692307694</v>
      </c>
      <c r="E12" s="5"/>
      <c r="F12" s="5"/>
      <c r="G12" s="5"/>
      <c r="H12" s="5"/>
      <c r="I12" s="18" t="s">
        <v>158</v>
      </c>
      <c r="J12" s="5"/>
      <c r="K12" s="6">
        <f>Data_File!D13</f>
        <v>1.25</v>
      </c>
    </row>
    <row r="13" spans="2:11" ht="12.75">
      <c r="B13" s="7" t="s">
        <v>60</v>
      </c>
      <c r="D13" s="5">
        <f>D11/D16*100</f>
        <v>16.692307692307693</v>
      </c>
      <c r="E13" s="5"/>
      <c r="F13" s="5"/>
      <c r="G13" s="5"/>
      <c r="H13" s="5"/>
      <c r="I13" s="18" t="s">
        <v>144</v>
      </c>
      <c r="J13" s="5"/>
      <c r="K13" s="5">
        <f>Data_File!G13</f>
        <v>15.001161716332511</v>
      </c>
    </row>
    <row r="14" spans="2:11" ht="12.75">
      <c r="B14" s="7" t="s">
        <v>61</v>
      </c>
      <c r="D14" s="5">
        <f>D11/Data_File!E17+D12</f>
        <v>10.015384615384615</v>
      </c>
      <c r="E14" s="5"/>
      <c r="F14" s="5"/>
      <c r="G14" s="5"/>
      <c r="H14" s="5"/>
      <c r="I14" s="18" t="s">
        <v>63</v>
      </c>
      <c r="J14" s="5"/>
      <c r="K14" s="5">
        <f>Data_File!E13</f>
        <v>68</v>
      </c>
    </row>
    <row r="15" spans="2:11" ht="12.75">
      <c r="B15" s="7" t="s">
        <v>62</v>
      </c>
      <c r="D15" s="2">
        <f>D13/D14</f>
        <v>1.6666666666666667</v>
      </c>
      <c r="E15" s="2"/>
      <c r="F15" s="2"/>
      <c r="G15" s="2"/>
      <c r="H15" s="2"/>
      <c r="I15" s="19" t="s">
        <v>64</v>
      </c>
      <c r="J15" s="2"/>
      <c r="K15" s="2">
        <f>Data_File!L20</f>
        <v>3.876514903373731</v>
      </c>
    </row>
    <row r="16" spans="2:11" ht="12.75">
      <c r="B16" s="7" t="s">
        <v>36</v>
      </c>
      <c r="D16" s="5">
        <f>Data_File!E18</f>
        <v>65</v>
      </c>
      <c r="E16" s="5"/>
      <c r="F16" s="5"/>
      <c r="G16" s="5"/>
      <c r="H16" s="5"/>
      <c r="I16" s="18" t="s">
        <v>145</v>
      </c>
      <c r="J16" s="5"/>
      <c r="K16" s="6">
        <f>Data_File!K13</f>
        <v>0.45</v>
      </c>
    </row>
    <row r="17" spans="2:11" ht="12.75">
      <c r="B17" s="20" t="s">
        <v>57</v>
      </c>
      <c r="C17" s="21"/>
      <c r="D17" s="22">
        <f>Data_File!Q16</f>
        <v>60</v>
      </c>
      <c r="E17" s="22"/>
      <c r="F17" s="22"/>
      <c r="G17" s="22"/>
      <c r="H17" s="22"/>
      <c r="I17" s="23" t="s">
        <v>146</v>
      </c>
      <c r="J17" s="22"/>
      <c r="K17" s="24">
        <f>Data_File!Q18</f>
        <v>41.474654377880185</v>
      </c>
    </row>
    <row r="18" spans="5:11" ht="12.75">
      <c r="E18" s="2"/>
      <c r="F18" s="2"/>
      <c r="G18" s="2"/>
      <c r="H18" s="2"/>
      <c r="I18" s="19"/>
      <c r="J18" s="2"/>
      <c r="K18" s="2"/>
    </row>
    <row r="19" spans="4:9" ht="12.75">
      <c r="D19" s="195" t="s">
        <v>65</v>
      </c>
      <c r="E19" s="195"/>
      <c r="F19" s="195"/>
      <c r="G19" s="195"/>
      <c r="H19" s="195"/>
      <c r="I19" s="195"/>
    </row>
    <row r="20" spans="4:9" ht="12.75">
      <c r="D20" s="4"/>
      <c r="E20" s="4"/>
      <c r="F20" s="4"/>
      <c r="G20" s="4"/>
      <c r="H20" s="4"/>
      <c r="I20" s="4"/>
    </row>
    <row r="21" spans="1:11" ht="12.75">
      <c r="A21" s="3" t="s">
        <v>2</v>
      </c>
      <c r="B21" s="4" t="s">
        <v>0</v>
      </c>
      <c r="C21" s="4" t="s">
        <v>1</v>
      </c>
      <c r="E21" s="4" t="s">
        <v>18</v>
      </c>
      <c r="F21" s="194" t="s">
        <v>22</v>
      </c>
      <c r="G21" s="194"/>
      <c r="H21" s="194"/>
      <c r="I21" s="4"/>
      <c r="J21" s="4"/>
      <c r="K21" s="4"/>
    </row>
    <row r="22" spans="1:11" ht="12.75">
      <c r="A22" s="4"/>
      <c r="B22" s="4"/>
      <c r="C22" s="4"/>
      <c r="E22" s="4"/>
      <c r="F22" s="4" t="s">
        <v>66</v>
      </c>
      <c r="G22" s="4"/>
      <c r="H22" s="4" t="s">
        <v>47</v>
      </c>
      <c r="I22" s="4"/>
      <c r="J22" s="4"/>
      <c r="K22" s="4"/>
    </row>
    <row r="23" spans="1:11" ht="12.75">
      <c r="A23" s="4"/>
      <c r="B23" s="4"/>
      <c r="C23" s="4"/>
      <c r="E23" s="4"/>
      <c r="F23" s="4"/>
      <c r="G23" s="4"/>
      <c r="H23" s="4"/>
      <c r="I23" s="4"/>
      <c r="J23" s="4"/>
      <c r="K23" s="4"/>
    </row>
    <row r="24" spans="1:16" ht="12.75">
      <c r="A24" s="12">
        <v>1</v>
      </c>
      <c r="B24">
        <f>Data_File!D27</f>
        <v>1.05</v>
      </c>
      <c r="C24">
        <f>Data_File!E27</f>
        <v>25400</v>
      </c>
      <c r="E24" s="29">
        <f>Data_File!H27</f>
        <v>100</v>
      </c>
      <c r="F24" s="29">
        <f>Data_File!J27</f>
        <v>100</v>
      </c>
      <c r="G24" s="33" t="s">
        <v>67</v>
      </c>
      <c r="H24" s="29">
        <f>Data_File!L27</f>
        <v>99.99999999999724</v>
      </c>
      <c r="I24" s="6"/>
      <c r="J24" s="25"/>
      <c r="K24" s="25"/>
      <c r="N24" s="91">
        <f aca="true" t="shared" si="0" ref="N24:N43">IF(E24&gt;80,IF(E25&lt;80,$C25*EXP(LN(80/E25)*LN($C24/$C25)/LN(E24/E25)),0),0)</f>
        <v>0</v>
      </c>
      <c r="O24" s="91" t="e">
        <f aca="true" t="shared" si="1" ref="O24:O43">IF(F24&gt;80,IF(F25&lt;80,$C25*EXP(LN(80/F25)*LN($C24/$C25)/LN(F24/F25)),0),0)</f>
        <v>#DIV/0!</v>
      </c>
      <c r="P24" s="91">
        <f aca="true" t="shared" si="2" ref="P24:P43">IF(H24&gt;80,IF(H25&lt;80,$C25*EXP(LN(80/H25)*LN($C24/$C25)/LN(H24/H25)),0),0)</f>
        <v>0</v>
      </c>
    </row>
    <row r="25" spans="1:16" ht="12.75">
      <c r="A25" s="12">
        <v>2</v>
      </c>
      <c r="B25">
        <f>Data_File!D28</f>
        <v>0.742</v>
      </c>
      <c r="C25">
        <f>Data_File!E28</f>
        <v>19050</v>
      </c>
      <c r="E25" s="29">
        <f>Data_File!H28</f>
        <v>100</v>
      </c>
      <c r="F25" s="29">
        <f>Data_File!J28</f>
        <v>0</v>
      </c>
      <c r="G25" s="33" t="s">
        <v>67</v>
      </c>
      <c r="H25" s="29">
        <f>Data_File!L28</f>
        <v>99.99999999999724</v>
      </c>
      <c r="I25" s="6"/>
      <c r="J25" s="25"/>
      <c r="K25" s="25"/>
      <c r="N25" s="91">
        <f t="shared" si="0"/>
        <v>0</v>
      </c>
      <c r="O25" s="91">
        <f t="shared" si="1"/>
        <v>0</v>
      </c>
      <c r="P25" s="91">
        <f t="shared" si="2"/>
        <v>0</v>
      </c>
    </row>
    <row r="26" spans="1:16" ht="12.75">
      <c r="A26" s="12">
        <v>3</v>
      </c>
      <c r="B26">
        <f>Data_File!D29</f>
        <v>0.525</v>
      </c>
      <c r="C26">
        <f>Data_File!E29</f>
        <v>12700</v>
      </c>
      <c r="E26" s="29">
        <f>Data_File!H29</f>
        <v>97.64783128571537</v>
      </c>
      <c r="F26" s="29">
        <f>Data_File!J29</f>
        <v>0</v>
      </c>
      <c r="G26" s="33" t="s">
        <v>67</v>
      </c>
      <c r="H26" s="29">
        <f>Data_File!L29</f>
        <v>99.99999929403066</v>
      </c>
      <c r="I26" s="6"/>
      <c r="J26" s="25"/>
      <c r="K26" s="25"/>
      <c r="N26" s="91">
        <f t="shared" si="0"/>
        <v>0</v>
      </c>
      <c r="O26" s="91">
        <f t="shared" si="1"/>
        <v>0</v>
      </c>
      <c r="P26" s="91">
        <f t="shared" si="2"/>
        <v>0</v>
      </c>
    </row>
    <row r="27" spans="1:16" ht="12.75">
      <c r="A27" s="12">
        <v>4</v>
      </c>
      <c r="B27">
        <f>Data_File!D30</f>
        <v>0.371</v>
      </c>
      <c r="C27">
        <f>Data_File!E30</f>
        <v>9500</v>
      </c>
      <c r="E27" s="29">
        <f>Data_File!H30</f>
        <v>90.99962481316147</v>
      </c>
      <c r="F27" s="29">
        <f>Data_File!J30</f>
        <v>0</v>
      </c>
      <c r="G27" s="33" t="s">
        <v>67</v>
      </c>
      <c r="H27" s="29">
        <f>Data_File!L30</f>
        <v>99.9999986969697</v>
      </c>
      <c r="I27" s="6"/>
      <c r="J27" s="25"/>
      <c r="K27" s="25"/>
      <c r="N27" s="91">
        <f t="shared" si="0"/>
        <v>0</v>
      </c>
      <c r="O27" s="91">
        <f t="shared" si="1"/>
        <v>0</v>
      </c>
      <c r="P27" s="91">
        <f t="shared" si="2"/>
        <v>0</v>
      </c>
    </row>
    <row r="28" spans="1:16" ht="12.75">
      <c r="A28" s="12">
        <v>5</v>
      </c>
      <c r="B28">
        <f>Data_File!D31</f>
        <v>3</v>
      </c>
      <c r="C28">
        <f>Data_File!E31</f>
        <v>6700</v>
      </c>
      <c r="E28" s="29">
        <f>Data_File!H31</f>
        <v>85.0202208669354</v>
      </c>
      <c r="F28" s="29">
        <f>Data_File!J31</f>
        <v>0</v>
      </c>
      <c r="G28" s="33" t="s">
        <v>67</v>
      </c>
      <c r="H28" s="29">
        <f>Data_File!L31</f>
        <v>99.99999814844001</v>
      </c>
      <c r="I28" s="6"/>
      <c r="J28" s="25"/>
      <c r="K28" s="25"/>
      <c r="N28" s="91">
        <f t="shared" si="0"/>
        <v>0</v>
      </c>
      <c r="O28" s="91">
        <f t="shared" si="1"/>
        <v>0</v>
      </c>
      <c r="P28" s="91">
        <f t="shared" si="2"/>
        <v>0</v>
      </c>
    </row>
    <row r="29" spans="1:16" ht="12.75">
      <c r="A29" s="12">
        <v>6</v>
      </c>
      <c r="B29">
        <f>Data_File!D32</f>
        <v>4</v>
      </c>
      <c r="C29">
        <f>Data_File!E32</f>
        <v>4750</v>
      </c>
      <c r="E29" s="29">
        <f>Data_File!H32</f>
        <v>80.19375283004734</v>
      </c>
      <c r="F29" s="29">
        <f>Data_File!J32</f>
        <v>0</v>
      </c>
      <c r="G29" s="33" t="s">
        <v>67</v>
      </c>
      <c r="H29" s="29">
        <f>Data_File!L32</f>
        <v>99.99999763862108</v>
      </c>
      <c r="I29" s="6"/>
      <c r="J29" s="25"/>
      <c r="K29" s="25"/>
      <c r="N29" s="91">
        <f t="shared" si="0"/>
        <v>4679.916940967863</v>
      </c>
      <c r="O29" s="91">
        <f t="shared" si="1"/>
        <v>0</v>
      </c>
      <c r="P29" s="91">
        <f t="shared" si="2"/>
        <v>0</v>
      </c>
    </row>
    <row r="30" spans="1:16" ht="12.75">
      <c r="A30" s="12">
        <v>7</v>
      </c>
      <c r="B30">
        <f>Data_File!D33</f>
        <v>6</v>
      </c>
      <c r="C30">
        <f>Data_File!E33</f>
        <v>3350</v>
      </c>
      <c r="E30" s="29">
        <f>Data_File!H33</f>
        <v>75.76375381977516</v>
      </c>
      <c r="F30" s="29">
        <f>Data_File!J33</f>
        <v>0</v>
      </c>
      <c r="G30" s="33" t="s">
        <v>67</v>
      </c>
      <c r="H30" s="29">
        <f>Data_File!L33</f>
        <v>99.99999705875757</v>
      </c>
      <c r="I30" s="6"/>
      <c r="J30" s="25"/>
      <c r="K30" s="25"/>
      <c r="N30" s="91">
        <f t="shared" si="0"/>
        <v>0</v>
      </c>
      <c r="O30" s="91">
        <f t="shared" si="1"/>
        <v>0</v>
      </c>
      <c r="P30" s="91">
        <f t="shared" si="2"/>
        <v>0</v>
      </c>
    </row>
    <row r="31" spans="1:16" ht="12.75">
      <c r="A31" s="12">
        <v>8</v>
      </c>
      <c r="B31">
        <f>Data_File!D34</f>
        <v>8</v>
      </c>
      <c r="C31">
        <f>Data_File!E34</f>
        <v>2360</v>
      </c>
      <c r="E31" s="29">
        <f>Data_File!H34</f>
        <v>71.35819893200762</v>
      </c>
      <c r="F31" s="29">
        <f>Data_File!J34</f>
        <v>0</v>
      </c>
      <c r="G31" s="33" t="s">
        <v>67</v>
      </c>
      <c r="H31" s="29">
        <f>Data_File!L34</f>
        <v>99.99999626786729</v>
      </c>
      <c r="I31" s="6"/>
      <c r="J31" s="25"/>
      <c r="K31" s="25"/>
      <c r="N31" s="91">
        <f t="shared" si="0"/>
        <v>0</v>
      </c>
      <c r="O31" s="91">
        <f t="shared" si="1"/>
        <v>0</v>
      </c>
      <c r="P31" s="91">
        <f t="shared" si="2"/>
        <v>0</v>
      </c>
    </row>
    <row r="32" spans="1:16" ht="12.75">
      <c r="A32" s="12">
        <v>9</v>
      </c>
      <c r="B32">
        <f>Data_File!D35</f>
        <v>10</v>
      </c>
      <c r="C32">
        <f>Data_File!E35</f>
        <v>1700</v>
      </c>
      <c r="E32" s="29">
        <f>Data_File!H35</f>
        <v>66.86928185017342</v>
      </c>
      <c r="F32" s="29">
        <f>Data_File!J35</f>
        <v>0</v>
      </c>
      <c r="G32" s="33" t="s">
        <v>67</v>
      </c>
      <c r="H32" s="29">
        <f>Data_File!L35</f>
        <v>99.99999504493627</v>
      </c>
      <c r="I32" s="6"/>
      <c r="J32" s="25"/>
      <c r="K32" s="25"/>
      <c r="N32" s="91">
        <f t="shared" si="0"/>
        <v>0</v>
      </c>
      <c r="O32" s="91">
        <f t="shared" si="1"/>
        <v>0</v>
      </c>
      <c r="P32" s="91">
        <f t="shared" si="2"/>
        <v>0</v>
      </c>
    </row>
    <row r="33" spans="1:16" ht="12.75">
      <c r="A33" s="12">
        <v>10</v>
      </c>
      <c r="B33">
        <f>Data_File!D36</f>
        <v>14</v>
      </c>
      <c r="C33">
        <f>Data_File!E36</f>
        <v>1180</v>
      </c>
      <c r="E33" s="29">
        <f>Data_File!H36</f>
        <v>61.48514257924406</v>
      </c>
      <c r="F33" s="29">
        <f>Data_File!J36</f>
        <v>0</v>
      </c>
      <c r="G33" s="33" t="s">
        <v>67</v>
      </c>
      <c r="H33" s="29">
        <f>Data_File!L36</f>
        <v>99.99999259126145</v>
      </c>
      <c r="I33" s="6"/>
      <c r="J33" s="25"/>
      <c r="K33" s="25"/>
      <c r="N33" s="91">
        <f t="shared" si="0"/>
        <v>0</v>
      </c>
      <c r="O33" s="91">
        <f t="shared" si="1"/>
        <v>0</v>
      </c>
      <c r="P33" s="91">
        <f t="shared" si="2"/>
        <v>0</v>
      </c>
    </row>
    <row r="34" spans="1:16" ht="12.75">
      <c r="A34" s="12">
        <v>11</v>
      </c>
      <c r="B34">
        <f>Data_File!D37</f>
        <v>20</v>
      </c>
      <c r="C34">
        <f>Data_File!E37</f>
        <v>850</v>
      </c>
      <c r="E34" s="29">
        <f>Data_File!H37</f>
        <v>55.66648389938268</v>
      </c>
      <c r="F34" s="29">
        <f>Data_File!J37</f>
        <v>0</v>
      </c>
      <c r="G34" s="33" t="s">
        <v>67</v>
      </c>
      <c r="H34" s="29">
        <f>Data_File!L37</f>
        <v>99.99998675136742</v>
      </c>
      <c r="I34" s="6"/>
      <c r="J34" s="25"/>
      <c r="K34" s="25"/>
      <c r="N34" s="91">
        <f t="shared" si="0"/>
        <v>0</v>
      </c>
      <c r="O34" s="91">
        <f t="shared" si="1"/>
        <v>0</v>
      </c>
      <c r="P34" s="91">
        <f t="shared" si="2"/>
        <v>0</v>
      </c>
    </row>
    <row r="35" spans="1:16" ht="12.75">
      <c r="A35" s="12">
        <v>12</v>
      </c>
      <c r="B35">
        <f>Data_File!D38</f>
        <v>28</v>
      </c>
      <c r="C35">
        <f>Data_File!E38</f>
        <v>600</v>
      </c>
      <c r="E35" s="29">
        <f>Data_File!H38</f>
        <v>48.600753613019585</v>
      </c>
      <c r="F35" s="29">
        <f>Data_File!J38</f>
        <v>0</v>
      </c>
      <c r="G35" s="33" t="s">
        <v>67</v>
      </c>
      <c r="H35" s="29">
        <f>Data_File!L38</f>
        <v>99.99996229974487</v>
      </c>
      <c r="I35" s="6"/>
      <c r="J35" s="25"/>
      <c r="K35" s="25"/>
      <c r="N35" s="91">
        <f t="shared" si="0"/>
        <v>0</v>
      </c>
      <c r="O35" s="91">
        <f t="shared" si="1"/>
        <v>0</v>
      </c>
      <c r="P35" s="91">
        <f t="shared" si="2"/>
        <v>0</v>
      </c>
    </row>
    <row r="36" spans="1:16" ht="12.75">
      <c r="A36" s="12">
        <v>13</v>
      </c>
      <c r="B36">
        <f>Data_File!D39</f>
        <v>35</v>
      </c>
      <c r="C36">
        <f>Data_File!E39</f>
        <v>425</v>
      </c>
      <c r="E36" s="29">
        <f>Data_File!H39</f>
        <v>40.40776435932991</v>
      </c>
      <c r="F36" s="29">
        <f>Data_File!J39</f>
        <v>0</v>
      </c>
      <c r="G36" s="33" t="s">
        <v>67</v>
      </c>
      <c r="H36" s="29">
        <f>Data_File!L39</f>
        <v>99.99972054118899</v>
      </c>
      <c r="I36" s="6"/>
      <c r="J36" s="25"/>
      <c r="K36" s="25"/>
      <c r="N36" s="91">
        <f t="shared" si="0"/>
        <v>0</v>
      </c>
      <c r="O36" s="91">
        <f t="shared" si="1"/>
        <v>0</v>
      </c>
      <c r="P36" s="91">
        <f t="shared" si="2"/>
        <v>0</v>
      </c>
    </row>
    <row r="37" spans="1:16" ht="12.75">
      <c r="A37" s="12">
        <v>14</v>
      </c>
      <c r="B37">
        <f>Data_File!D40</f>
        <v>48</v>
      </c>
      <c r="C37">
        <f>Data_File!E40</f>
        <v>300</v>
      </c>
      <c r="E37" s="29">
        <f>Data_File!H40</f>
        <v>31.684739374549327</v>
      </c>
      <c r="F37" s="29">
        <f>Data_File!J40</f>
        <v>0</v>
      </c>
      <c r="G37" s="33" t="s">
        <v>67</v>
      </c>
      <c r="H37" s="29">
        <f>Data_File!L40</f>
        <v>99.99644382242339</v>
      </c>
      <c r="I37" s="6"/>
      <c r="J37" s="25"/>
      <c r="K37" s="25"/>
      <c r="N37" s="91">
        <f t="shared" si="0"/>
        <v>0</v>
      </c>
      <c r="O37" s="91">
        <f t="shared" si="1"/>
        <v>0</v>
      </c>
      <c r="P37" s="91">
        <f t="shared" si="2"/>
        <v>0</v>
      </c>
    </row>
    <row r="38" spans="1:16" ht="12.75">
      <c r="A38" s="12">
        <v>15</v>
      </c>
      <c r="B38">
        <f>Data_File!D41</f>
        <v>65</v>
      </c>
      <c r="C38">
        <f>Data_File!E41</f>
        <v>212</v>
      </c>
      <c r="E38" s="29">
        <f>Data_File!H41</f>
        <v>23.96770355202846</v>
      </c>
      <c r="F38" s="29">
        <f>Data_File!J41</f>
        <v>0</v>
      </c>
      <c r="G38" s="33" t="s">
        <v>67</v>
      </c>
      <c r="H38" s="29">
        <f>Data_File!L41</f>
        <v>99.96374625284028</v>
      </c>
      <c r="I38" s="6"/>
      <c r="J38" s="25"/>
      <c r="K38" s="25"/>
      <c r="N38" s="91">
        <f t="shared" si="0"/>
        <v>0</v>
      </c>
      <c r="O38" s="91">
        <f t="shared" si="1"/>
        <v>0</v>
      </c>
      <c r="P38" s="91">
        <f t="shared" si="2"/>
        <v>0</v>
      </c>
    </row>
    <row r="39" spans="1:16" ht="12.75">
      <c r="A39" s="12">
        <v>16</v>
      </c>
      <c r="B39">
        <f>Data_File!D42</f>
        <v>100</v>
      </c>
      <c r="C39">
        <f>Data_File!E42</f>
        <v>150</v>
      </c>
      <c r="E39" s="29">
        <f>Data_File!H42</f>
        <v>18.217715336537786</v>
      </c>
      <c r="F39" s="29">
        <f>Data_File!J42</f>
        <v>0</v>
      </c>
      <c r="G39" s="33" t="s">
        <v>67</v>
      </c>
      <c r="H39" s="29">
        <f>Data_File!L42</f>
        <v>99.75576176350714</v>
      </c>
      <c r="I39" s="6"/>
      <c r="J39" s="25"/>
      <c r="K39" s="25"/>
      <c r="N39" s="91">
        <f t="shared" si="0"/>
        <v>0</v>
      </c>
      <c r="O39" s="91">
        <f t="shared" si="1"/>
        <v>0</v>
      </c>
      <c r="P39" s="91">
        <f t="shared" si="2"/>
        <v>0</v>
      </c>
    </row>
    <row r="40" spans="1:16" ht="12.75">
      <c r="A40" s="12">
        <v>17</v>
      </c>
      <c r="B40">
        <f>Data_File!D43</f>
        <v>150</v>
      </c>
      <c r="C40">
        <f>Data_File!E43</f>
        <v>106</v>
      </c>
      <c r="E40" s="29">
        <f>Data_File!H43</f>
        <v>14.312193150430764</v>
      </c>
      <c r="F40" s="29">
        <f>Data_File!J43</f>
        <v>0</v>
      </c>
      <c r="G40" s="33" t="s">
        <v>67</v>
      </c>
      <c r="H40" s="29">
        <f>Data_File!L43</f>
        <v>98.89763417259246</v>
      </c>
      <c r="I40" s="6"/>
      <c r="J40" s="25"/>
      <c r="K40" s="25"/>
      <c r="N40" s="91">
        <f t="shared" si="0"/>
        <v>0</v>
      </c>
      <c r="O40" s="91">
        <f t="shared" si="1"/>
        <v>0</v>
      </c>
      <c r="P40" s="91">
        <f t="shared" si="2"/>
        <v>0</v>
      </c>
    </row>
    <row r="41" spans="1:16" ht="12.75">
      <c r="A41" s="12">
        <v>18</v>
      </c>
      <c r="B41">
        <f>Data_File!D44</f>
        <v>200</v>
      </c>
      <c r="C41">
        <f>Data_File!E44</f>
        <v>75</v>
      </c>
      <c r="E41" s="29">
        <f>Data_File!H44</f>
        <v>11.726802695003379</v>
      </c>
      <c r="F41" s="29">
        <f>Data_File!J44</f>
        <v>0</v>
      </c>
      <c r="G41" s="33" t="s">
        <v>67</v>
      </c>
      <c r="H41" s="29">
        <f>Data_File!L44</f>
        <v>96.51208392416746</v>
      </c>
      <c r="I41" s="6"/>
      <c r="J41" s="25"/>
      <c r="K41" s="25"/>
      <c r="N41" s="91">
        <f t="shared" si="0"/>
        <v>0</v>
      </c>
      <c r="O41" s="91">
        <f t="shared" si="1"/>
        <v>0</v>
      </c>
      <c r="P41" s="91">
        <f t="shared" si="2"/>
        <v>0</v>
      </c>
    </row>
    <row r="42" spans="1:16" ht="12.75">
      <c r="A42" s="12">
        <v>19</v>
      </c>
      <c r="B42">
        <f>Data_File!D45</f>
        <v>270</v>
      </c>
      <c r="C42">
        <f>Data_File!E45</f>
        <v>53</v>
      </c>
      <c r="E42" s="29">
        <f>Data_File!H45</f>
        <v>9.948750593665084</v>
      </c>
      <c r="F42" s="29">
        <f>Data_File!J45</f>
        <v>0</v>
      </c>
      <c r="G42" s="33" t="s">
        <v>67</v>
      </c>
      <c r="H42" s="29">
        <f>Data_File!L45</f>
        <v>91.78543069167438</v>
      </c>
      <c r="I42" s="6"/>
      <c r="J42" s="25"/>
      <c r="K42" s="25"/>
      <c r="N42" s="91">
        <f t="shared" si="0"/>
        <v>0</v>
      </c>
      <c r="O42" s="91">
        <f t="shared" si="1"/>
        <v>0</v>
      </c>
      <c r="P42" s="91">
        <f t="shared" si="2"/>
        <v>0</v>
      </c>
    </row>
    <row r="43" spans="1:16" ht="12.75">
      <c r="A43" s="12">
        <v>20</v>
      </c>
      <c r="B43">
        <f>Data_File!D46</f>
        <v>400</v>
      </c>
      <c r="C43">
        <f>Data_File!E46</f>
        <v>38</v>
      </c>
      <c r="E43" s="29">
        <f>Data_File!H46</f>
        <v>8.738997608618192</v>
      </c>
      <c r="F43" s="29">
        <f>Data_File!J46</f>
        <v>0</v>
      </c>
      <c r="G43" s="33" t="s">
        <v>67</v>
      </c>
      <c r="H43" s="29">
        <f>Data_File!L46</f>
        <v>84.94657295365127</v>
      </c>
      <c r="I43" s="6"/>
      <c r="J43" s="25"/>
      <c r="K43" s="25"/>
      <c r="N43" s="91">
        <f t="shared" si="0"/>
        <v>0</v>
      </c>
      <c r="O43" s="91">
        <f t="shared" si="1"/>
        <v>0</v>
      </c>
      <c r="P43" s="91" t="e">
        <f t="shared" si="2"/>
        <v>#DIV/0!</v>
      </c>
    </row>
    <row r="44" spans="2:16" ht="12.75">
      <c r="B44" s="8"/>
      <c r="C44" s="8"/>
      <c r="D44" s="8"/>
      <c r="E44" s="30"/>
      <c r="F44" s="30"/>
      <c r="G44" s="30"/>
      <c r="H44" s="30"/>
      <c r="I44" s="8"/>
      <c r="J44" s="26"/>
      <c r="K44" s="26"/>
      <c r="N44" s="91"/>
      <c r="O44" s="91"/>
      <c r="P44" s="91"/>
    </row>
    <row r="45" spans="2:16" ht="18" customHeight="1">
      <c r="B45" s="10" t="s">
        <v>37</v>
      </c>
      <c r="C45" s="10"/>
      <c r="D45" s="34"/>
      <c r="E45" s="31">
        <f>N45</f>
        <v>4679.916940967863</v>
      </c>
      <c r="F45" s="31" t="e">
        <f>O45</f>
        <v>#DIV/0!</v>
      </c>
      <c r="G45" s="32" t="s">
        <v>67</v>
      </c>
      <c r="H45" s="31" t="e">
        <f>P45</f>
        <v>#DIV/0!</v>
      </c>
      <c r="I45" s="11"/>
      <c r="J45" s="27"/>
      <c r="K45" s="28"/>
      <c r="N45" s="91">
        <f>SUM(N24:N43)</f>
        <v>4679.916940967863</v>
      </c>
      <c r="O45" s="91" t="e">
        <f>SUM(O24:O43)</f>
        <v>#DIV/0!</v>
      </c>
      <c r="P45" s="91" t="e">
        <f>SUM(P24:P43)</f>
        <v>#DIV/0!</v>
      </c>
    </row>
    <row r="46" spans="2:11" ht="12.75">
      <c r="B46" s="13"/>
      <c r="C46" s="13"/>
      <c r="D46" s="13"/>
      <c r="E46" s="13"/>
      <c r="F46" s="13"/>
      <c r="G46" s="13"/>
      <c r="H46" s="13"/>
      <c r="I46" s="13"/>
      <c r="J46" s="13"/>
      <c r="K46" s="13"/>
    </row>
    <row r="47" spans="2:11" ht="18" customHeight="1">
      <c r="B47" s="171" t="s">
        <v>68</v>
      </c>
      <c r="C47" s="201"/>
      <c r="D47" s="201"/>
      <c r="E47" s="201"/>
      <c r="F47" s="201"/>
      <c r="G47" s="201"/>
      <c r="H47" s="201"/>
      <c r="I47" s="201"/>
      <c r="J47" s="201"/>
      <c r="K47" s="202"/>
    </row>
    <row r="48" spans="2:11" ht="12" customHeight="1">
      <c r="B48" s="205" t="s">
        <v>33</v>
      </c>
      <c r="C48" s="203"/>
      <c r="D48" s="203"/>
      <c r="E48" s="62"/>
      <c r="F48" s="62"/>
      <c r="G48" s="62"/>
      <c r="H48" s="62"/>
      <c r="I48" s="203" t="s">
        <v>34</v>
      </c>
      <c r="J48" s="203"/>
      <c r="K48" s="204"/>
    </row>
    <row r="49" spans="2:11" ht="12.75">
      <c r="B49" s="7" t="s">
        <v>95</v>
      </c>
      <c r="C49" s="206">
        <f>Control_Panel!E10</f>
        <v>0.00918</v>
      </c>
      <c r="D49" s="206"/>
      <c r="E49" s="5"/>
      <c r="F49" s="5"/>
      <c r="G49" s="5"/>
      <c r="H49" s="5"/>
      <c r="I49" s="18" t="s">
        <v>101</v>
      </c>
      <c r="J49" s="5"/>
      <c r="K49" s="1">
        <f>Control_Panel!E20</f>
        <v>0.2</v>
      </c>
    </row>
    <row r="50" spans="2:11" ht="12.75">
      <c r="B50" s="7" t="s">
        <v>96</v>
      </c>
      <c r="C50" s="170">
        <f>Control_Panel!E15</f>
        <v>0</v>
      </c>
      <c r="D50" s="170"/>
      <c r="E50" s="5"/>
      <c r="F50" s="5"/>
      <c r="G50" s="5"/>
      <c r="H50" s="5"/>
      <c r="I50" s="18" t="s">
        <v>102</v>
      </c>
      <c r="J50" s="5"/>
      <c r="K50" s="2">
        <f>Control_Panel!E24</f>
        <v>0</v>
      </c>
    </row>
    <row r="51" spans="2:11" ht="12.75">
      <c r="B51" s="7" t="s">
        <v>97</v>
      </c>
      <c r="C51" s="207">
        <f>Control_Panel!E11</f>
        <v>0.65</v>
      </c>
      <c r="D51" s="207"/>
      <c r="E51" s="5"/>
      <c r="F51" s="5"/>
      <c r="G51" s="5"/>
      <c r="H51" s="5"/>
      <c r="I51" s="18" t="s">
        <v>103</v>
      </c>
      <c r="J51" s="5"/>
      <c r="K51" s="2">
        <f>Control_Panel!E21</f>
        <v>0.25</v>
      </c>
    </row>
    <row r="52" spans="2:11" ht="12.75">
      <c r="B52" s="7" t="s">
        <v>98</v>
      </c>
      <c r="C52" s="207">
        <f>Control_Panel!E16</f>
        <v>1</v>
      </c>
      <c r="D52" s="207"/>
      <c r="E52" s="5"/>
      <c r="F52" s="5"/>
      <c r="G52" s="5"/>
      <c r="H52" s="5"/>
      <c r="I52" s="18" t="s">
        <v>104</v>
      </c>
      <c r="J52" s="5"/>
      <c r="K52" s="2">
        <f>Control_Panel!E22</f>
        <v>4</v>
      </c>
    </row>
    <row r="53" spans="2:11" ht="12.75">
      <c r="B53" s="7" t="s">
        <v>99</v>
      </c>
      <c r="C53" s="207">
        <f>Control_Panel!E12</f>
        <v>2.5</v>
      </c>
      <c r="D53" s="207"/>
      <c r="E53" s="2"/>
      <c r="F53" s="2"/>
      <c r="G53" s="2"/>
      <c r="H53" s="2"/>
      <c r="I53" s="19"/>
      <c r="J53" s="2"/>
      <c r="K53" s="2"/>
    </row>
    <row r="54" spans="2:11" ht="12.75">
      <c r="B54" s="17" t="s">
        <v>100</v>
      </c>
      <c r="C54" s="200">
        <f>Control_Panel!E13</f>
        <v>6532</v>
      </c>
      <c r="D54" s="200"/>
      <c r="E54" s="9"/>
      <c r="F54" s="9"/>
      <c r="G54" s="9"/>
      <c r="H54" s="9"/>
      <c r="I54" s="23" t="s">
        <v>105</v>
      </c>
      <c r="J54" s="22"/>
      <c r="K54" s="24">
        <f>Control_Panel!E27</f>
        <v>0</v>
      </c>
    </row>
  </sheetData>
  <sheetProtection password="CD50" sheet="1" objects="1" scenarios="1" insertColumns="0" insertRows="0"/>
  <mergeCells count="16">
    <mergeCell ref="E1:H1"/>
    <mergeCell ref="C54:D54"/>
    <mergeCell ref="C50:D50"/>
    <mergeCell ref="B47:K47"/>
    <mergeCell ref="I48:K48"/>
    <mergeCell ref="B48:D48"/>
    <mergeCell ref="C49:D49"/>
    <mergeCell ref="C51:D51"/>
    <mergeCell ref="C52:D52"/>
    <mergeCell ref="C53:D53"/>
    <mergeCell ref="F21:H21"/>
    <mergeCell ref="D19:I19"/>
    <mergeCell ref="B2:K2"/>
    <mergeCell ref="B3:K3"/>
    <mergeCell ref="B8:K8"/>
    <mergeCell ref="B9:K9"/>
  </mergeCells>
  <printOptions horizontalCentered="1"/>
  <pageMargins left="0.25" right="0.25" top="0.5" bottom="0.5" header="0" footer="0.5"/>
  <pageSetup horizontalDpi="300" verticalDpi="300" orientation="portrait" r:id="rId2"/>
  <headerFooter alignWithMargins="0">
    <oddFooter>&amp;L&amp;"Arial,Bold"&amp;8Moly-Cop Tools&amp;"Arial,Regular" / &amp;F&amp;R&amp;8&amp;D / &amp;T</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BF256"/>
  <sheetViews>
    <sheetView zoomScale="75" zoomScaleNormal="75" workbookViewId="0" topLeftCell="A1">
      <selection activeCell="A1" sqref="A1"/>
    </sheetView>
  </sheetViews>
  <sheetFormatPr defaultColWidth="11.421875" defaultRowHeight="12.75"/>
  <cols>
    <col min="1" max="2" width="9.28125" style="91" bestFit="1" customWidth="1"/>
    <col min="3" max="19" width="13.28125" style="91" bestFit="1" customWidth="1"/>
    <col min="20" max="26" width="9.28125" style="91" bestFit="1" customWidth="1"/>
    <col min="27" max="27" width="13.28125" style="91" bestFit="1" customWidth="1"/>
    <col min="28" max="30" width="9.28125" style="91" bestFit="1" customWidth="1"/>
    <col min="31" max="31" width="9.140625" style="91" customWidth="1"/>
    <col min="32" max="54" width="9.28125" style="91" bestFit="1" customWidth="1"/>
    <col min="55" max="57" width="9.140625" style="91" customWidth="1"/>
    <col min="58" max="58" width="9.28125" style="91" bestFit="1" customWidth="1"/>
    <col min="59" max="16384" width="9.140625" style="91" customWidth="1"/>
  </cols>
  <sheetData>
    <row r="1" spans="1:7" ht="12.75">
      <c r="A1" s="91" t="s">
        <v>3</v>
      </c>
      <c r="G1" s="91" t="s">
        <v>8</v>
      </c>
    </row>
    <row r="3" spans="1:11" ht="12.75">
      <c r="A3" s="91" t="s">
        <v>51</v>
      </c>
      <c r="B3" s="91" t="s">
        <v>52</v>
      </c>
      <c r="C3" s="91" t="s">
        <v>53</v>
      </c>
      <c r="D3" s="91" t="s">
        <v>54</v>
      </c>
      <c r="E3" s="91" t="s">
        <v>4</v>
      </c>
      <c r="F3" s="91" t="s">
        <v>5</v>
      </c>
      <c r="H3" s="91" t="s">
        <v>48</v>
      </c>
      <c r="I3" s="91" t="s">
        <v>49</v>
      </c>
      <c r="J3" s="91" t="s">
        <v>9</v>
      </c>
      <c r="K3" s="91" t="s">
        <v>10</v>
      </c>
    </row>
    <row r="4" spans="1:11" ht="12.75">
      <c r="A4" s="91">
        <f>Control_Panel!E10</f>
        <v>0.00918</v>
      </c>
      <c r="B4" s="91">
        <f>Control_Panel!E15</f>
        <v>0</v>
      </c>
      <c r="C4" s="91">
        <f>Control_Panel!E11</f>
        <v>0.65</v>
      </c>
      <c r="D4" s="91">
        <f>Control_Panel!E16</f>
        <v>1</v>
      </c>
      <c r="E4" s="91">
        <f>Control_Panel!E12</f>
        <v>2.5</v>
      </c>
      <c r="F4" s="91">
        <f>Control_Panel!E13</f>
        <v>6532</v>
      </c>
      <c r="H4" s="91">
        <f>Control_Panel!E20</f>
        <v>0.2</v>
      </c>
      <c r="I4" s="91">
        <f>Control_Panel!E24</f>
        <v>0</v>
      </c>
      <c r="J4" s="91">
        <f>Control_Panel!E21</f>
        <v>0.25</v>
      </c>
      <c r="K4" s="91">
        <f>Control_Panel!E22</f>
        <v>4</v>
      </c>
    </row>
    <row r="7" spans="1:35" ht="12.75">
      <c r="A7" s="91" t="s">
        <v>2</v>
      </c>
      <c r="B7" s="91" t="s">
        <v>0</v>
      </c>
      <c r="C7" s="91" t="s">
        <v>1</v>
      </c>
      <c r="D7" s="91" t="s">
        <v>6</v>
      </c>
      <c r="E7" s="91" t="s">
        <v>7</v>
      </c>
      <c r="G7" s="91" t="s">
        <v>2</v>
      </c>
      <c r="H7" s="91" t="s">
        <v>0</v>
      </c>
      <c r="I7" s="91" t="s">
        <v>1</v>
      </c>
      <c r="J7" s="91" t="s">
        <v>50</v>
      </c>
      <c r="K7" s="91" t="s">
        <v>31</v>
      </c>
      <c r="AF7" s="91" t="s">
        <v>2</v>
      </c>
      <c r="AG7" s="91" t="s">
        <v>0</v>
      </c>
      <c r="AH7" s="91" t="s">
        <v>1</v>
      </c>
      <c r="AI7" s="91" t="s">
        <v>32</v>
      </c>
    </row>
    <row r="9" spans="1:58" ht="12.75">
      <c r="A9" s="91">
        <f>Data_File!C27</f>
        <v>1</v>
      </c>
      <c r="B9" s="91">
        <f>Data_File!D27</f>
        <v>1.05</v>
      </c>
      <c r="C9" s="91">
        <f>Data_File!E27</f>
        <v>25400</v>
      </c>
      <c r="D9" s="91">
        <f aca="true" t="shared" si="0" ref="D9:D27">(C9*C10)^0.5</f>
        <v>21997.04525612474</v>
      </c>
      <c r="E9" s="91">
        <f>(1/(1+$B$4/$A$4))*($A$4*D9^$C$4/(1+(D9/$F$4)^$E$4)+$B$4*D9^$D$4)</f>
        <v>0.27970585808385934</v>
      </c>
      <c r="G9" s="91">
        <f>Data_File!C27</f>
        <v>1</v>
      </c>
      <c r="H9" s="91">
        <f>Data_File!D27</f>
        <v>1.05</v>
      </c>
      <c r="I9" s="91">
        <f>Data_File!E27</f>
        <v>25400</v>
      </c>
      <c r="J9" s="91">
        <f aca="true" t="shared" si="1" ref="J9:J28">IF(H$4*(I9/1000)^(-I$4)&lt;1,H$4*(I9/1000)^(-I$4),1)</f>
        <v>0.2</v>
      </c>
      <c r="K9" s="91">
        <v>1</v>
      </c>
      <c r="AF9" s="91">
        <f aca="true" t="shared" si="2" ref="AF9:AF28">G9</f>
        <v>1</v>
      </c>
      <c r="AG9" s="91">
        <f aca="true" t="shared" si="3" ref="AG9:AG28">H9</f>
        <v>1.05</v>
      </c>
      <c r="AH9" s="91">
        <f aca="true" t="shared" si="4" ref="AH9:AH28">I9</f>
        <v>25400</v>
      </c>
      <c r="AI9" s="91">
        <f aca="true" t="shared" si="5" ref="AI9:AI28">K9-K10</f>
        <v>0</v>
      </c>
      <c r="BF9" s="91">
        <f>10*E9</f>
        <v>2.7970585808385935</v>
      </c>
    </row>
    <row r="10" spans="1:58" ht="12.75">
      <c r="A10" s="91">
        <f>Data_File!C28</f>
        <v>2</v>
      </c>
      <c r="B10" s="91">
        <f>Data_File!D28</f>
        <v>0.742</v>
      </c>
      <c r="C10" s="91">
        <f>Data_File!E28</f>
        <v>19050</v>
      </c>
      <c r="D10" s="91">
        <f t="shared" si="0"/>
        <v>15554.259866673181</v>
      </c>
      <c r="E10" s="91">
        <f aca="true" t="shared" si="6" ref="E10:E27">(1/(1+$B$4/$A$4))*($A$4*D10^$C$4/(1+(D10/$F$4)^$E$4)+$B$4*D10^$D$4)</f>
        <v>0.49950546979373706</v>
      </c>
      <c r="G10" s="91">
        <f>Data_File!C28</f>
        <v>2</v>
      </c>
      <c r="H10" s="91">
        <f>Data_File!D28</f>
        <v>0.742</v>
      </c>
      <c r="I10" s="91">
        <f>Data_File!E28</f>
        <v>19050</v>
      </c>
      <c r="J10" s="91">
        <f t="shared" si="1"/>
        <v>0.2</v>
      </c>
      <c r="K10" s="91">
        <f aca="true" t="shared" si="7" ref="K10:K28">$J$10*($I10/$I$10)^$J$4+(1-$J$10)*($I10/$I$10)^$K$4</f>
        <v>1</v>
      </c>
      <c r="L10" s="91">
        <v>1</v>
      </c>
      <c r="AF10" s="91">
        <f t="shared" si="2"/>
        <v>2</v>
      </c>
      <c r="AG10" s="91">
        <f t="shared" si="3"/>
        <v>0.742</v>
      </c>
      <c r="AH10" s="91">
        <f t="shared" si="4"/>
        <v>19050</v>
      </c>
      <c r="AI10" s="91">
        <f t="shared" si="5"/>
        <v>0.6612549079200063</v>
      </c>
      <c r="AJ10" s="91">
        <f aca="true" t="shared" si="8" ref="AJ10:AJ28">L10-L11</f>
        <v>0</v>
      </c>
      <c r="BF10" s="91">
        <f aca="true" t="shared" si="9" ref="BF10:BF27">10*E10</f>
        <v>4.995054697937371</v>
      </c>
    </row>
    <row r="11" spans="1:58" ht="12.75">
      <c r="A11" s="91">
        <f>Data_File!C29</f>
        <v>3</v>
      </c>
      <c r="B11" s="91">
        <f>Data_File!D29</f>
        <v>0.525</v>
      </c>
      <c r="C11" s="91">
        <f>Data_File!E29</f>
        <v>12700</v>
      </c>
      <c r="D11" s="91">
        <f t="shared" si="0"/>
        <v>10984.079387914127</v>
      </c>
      <c r="E11" s="91">
        <f t="shared" si="6"/>
        <v>0.8323668389034689</v>
      </c>
      <c r="G11" s="91">
        <f>Data_File!C29</f>
        <v>3</v>
      </c>
      <c r="H11" s="91">
        <f>Data_File!D29</f>
        <v>0.525</v>
      </c>
      <c r="I11" s="91">
        <f>Data_File!E29</f>
        <v>12700</v>
      </c>
      <c r="J11" s="91">
        <f t="shared" si="1"/>
        <v>0.2</v>
      </c>
      <c r="K11" s="91">
        <f t="shared" si="7"/>
        <v>0.33874509207999365</v>
      </c>
      <c r="L11" s="91">
        <f aca="true" t="shared" si="10" ref="L11:L28">$J$11*($I11/$I$11)^$J$4+(1-$J$11)*($I11/$I$11)^$K$4</f>
        <v>1</v>
      </c>
      <c r="M11" s="91">
        <v>1</v>
      </c>
      <c r="AF11" s="91">
        <f t="shared" si="2"/>
        <v>3</v>
      </c>
      <c r="AG11" s="91">
        <f t="shared" si="3"/>
        <v>0.525</v>
      </c>
      <c r="AH11" s="91">
        <f t="shared" si="4"/>
        <v>12700</v>
      </c>
      <c r="AI11" s="91">
        <f t="shared" si="5"/>
        <v>0.12119914299837367</v>
      </c>
      <c r="AJ11" s="91">
        <f t="shared" si="8"/>
        <v>0.563523311278395</v>
      </c>
      <c r="AK11" s="91">
        <f aca="true" t="shared" si="11" ref="AK11:AK28">M11-M12</f>
        <v>0</v>
      </c>
      <c r="BF11" s="91">
        <f t="shared" si="9"/>
        <v>8.323668389034689</v>
      </c>
    </row>
    <row r="12" spans="1:58" ht="12.75">
      <c r="A12" s="91">
        <f>Data_File!C30</f>
        <v>4</v>
      </c>
      <c r="B12" s="91">
        <f>Data_File!D30</f>
        <v>0.371</v>
      </c>
      <c r="C12" s="91">
        <f>Data_File!E30</f>
        <v>9500</v>
      </c>
      <c r="D12" s="91">
        <f t="shared" si="0"/>
        <v>7978.095010715278</v>
      </c>
      <c r="E12" s="91">
        <f t="shared" si="6"/>
        <v>1.1913792635157423</v>
      </c>
      <c r="G12" s="91">
        <f>Data_File!C30</f>
        <v>4</v>
      </c>
      <c r="H12" s="91">
        <f>Data_File!D30</f>
        <v>0.371</v>
      </c>
      <c r="I12" s="91">
        <f>Data_File!E30</f>
        <v>9500</v>
      </c>
      <c r="J12" s="91">
        <f t="shared" si="1"/>
        <v>0.2</v>
      </c>
      <c r="K12" s="91">
        <f t="shared" si="7"/>
        <v>0.21754594908161998</v>
      </c>
      <c r="L12" s="91">
        <f t="shared" si="10"/>
        <v>0.43647668872160506</v>
      </c>
      <c r="M12" s="91">
        <f aca="true" t="shared" si="12" ref="M12:M28">$J$12*($I12/$I$12)^$J$4+(1-$J$12)*($I12/$I$12)^$K$4</f>
        <v>1</v>
      </c>
      <c r="N12" s="91">
        <v>1</v>
      </c>
      <c r="AF12" s="91">
        <f t="shared" si="2"/>
        <v>4</v>
      </c>
      <c r="AG12" s="91">
        <f t="shared" si="3"/>
        <v>0.371</v>
      </c>
      <c r="AH12" s="91">
        <f t="shared" si="4"/>
        <v>9500</v>
      </c>
      <c r="AI12" s="91">
        <f t="shared" si="5"/>
        <v>0.05128593262878475</v>
      </c>
      <c r="AJ12" s="91">
        <f t="shared" si="8"/>
        <v>0.20405741505492503</v>
      </c>
      <c r="AK12" s="91">
        <f t="shared" si="11"/>
        <v>0.6187965309474656</v>
      </c>
      <c r="AL12" s="91">
        <f aca="true" t="shared" si="13" ref="AL12:AL28">N12-N13</f>
        <v>0</v>
      </c>
      <c r="BF12" s="91">
        <f t="shared" si="9"/>
        <v>11.913792635157423</v>
      </c>
    </row>
    <row r="13" spans="1:58" ht="12.75">
      <c r="A13" s="91">
        <f>Data_File!C31</f>
        <v>5</v>
      </c>
      <c r="B13" s="91">
        <f>Data_File!D31</f>
        <v>3</v>
      </c>
      <c r="C13" s="91">
        <f>Data_File!E31</f>
        <v>6700</v>
      </c>
      <c r="D13" s="91">
        <f t="shared" si="0"/>
        <v>5641.365083027334</v>
      </c>
      <c r="E13" s="91">
        <f t="shared" si="6"/>
        <v>1.4877832796288644</v>
      </c>
      <c r="G13" s="91">
        <f>Data_File!C31</f>
        <v>5</v>
      </c>
      <c r="H13" s="91">
        <f>Data_File!D31</f>
        <v>3</v>
      </c>
      <c r="I13" s="91">
        <f>Data_File!E31</f>
        <v>6700</v>
      </c>
      <c r="J13" s="91">
        <f t="shared" si="1"/>
        <v>0.2</v>
      </c>
      <c r="K13" s="91">
        <f t="shared" si="7"/>
        <v>0.16626001645283522</v>
      </c>
      <c r="L13" s="91">
        <f t="shared" si="10"/>
        <v>0.23241927366668003</v>
      </c>
      <c r="M13" s="91">
        <f t="shared" si="12"/>
        <v>0.38120346905253444</v>
      </c>
      <c r="N13" s="91">
        <f aca="true" t="shared" si="14" ref="N13:N28">$J$13*($I13/$I$13)^$J$4+(1-$J$13)*($I13/$I$13)^$K$4</f>
        <v>1</v>
      </c>
      <c r="O13" s="91">
        <v>1</v>
      </c>
      <c r="AF13" s="91">
        <f t="shared" si="2"/>
        <v>5</v>
      </c>
      <c r="AG13" s="91">
        <f t="shared" si="3"/>
        <v>3</v>
      </c>
      <c r="AH13" s="91">
        <f t="shared" si="4"/>
        <v>6700</v>
      </c>
      <c r="AI13" s="91">
        <f t="shared" si="5"/>
        <v>0.021839227313826787</v>
      </c>
      <c r="AJ13" s="91">
        <f t="shared" si="8"/>
        <v>0.060358739987128734</v>
      </c>
      <c r="AK13" s="91">
        <f t="shared" si="11"/>
        <v>0.16302418600179153</v>
      </c>
      <c r="AL13" s="91">
        <f t="shared" si="13"/>
        <v>0.614379963335173</v>
      </c>
      <c r="AM13" s="91">
        <f aca="true" t="shared" si="15" ref="AM13:AM28">O13-O14</f>
        <v>0</v>
      </c>
      <c r="BF13" s="91">
        <f t="shared" si="9"/>
        <v>14.877832796288644</v>
      </c>
    </row>
    <row r="14" spans="1:58" ht="12.75">
      <c r="A14" s="91">
        <f>Data_File!C32</f>
        <v>6</v>
      </c>
      <c r="B14" s="91">
        <f>Data_File!D32</f>
        <v>4</v>
      </c>
      <c r="C14" s="91">
        <f>Data_File!E32</f>
        <v>4750</v>
      </c>
      <c r="D14" s="91">
        <f t="shared" si="0"/>
        <v>3989.047505357639</v>
      </c>
      <c r="E14" s="91">
        <f t="shared" si="6"/>
        <v>1.5571538796653868</v>
      </c>
      <c r="G14" s="91">
        <f>Data_File!C32</f>
        <v>6</v>
      </c>
      <c r="H14" s="91">
        <f>Data_File!D32</f>
        <v>4</v>
      </c>
      <c r="I14" s="91">
        <f>Data_File!E32</f>
        <v>4750</v>
      </c>
      <c r="J14" s="91">
        <f t="shared" si="1"/>
        <v>0.2</v>
      </c>
      <c r="K14" s="91">
        <f t="shared" si="7"/>
        <v>0.14442078913900844</v>
      </c>
      <c r="L14" s="91">
        <f t="shared" si="10"/>
        <v>0.1720605336795513</v>
      </c>
      <c r="M14" s="91">
        <f t="shared" si="12"/>
        <v>0.2181792830507429</v>
      </c>
      <c r="N14" s="91">
        <f t="shared" si="14"/>
        <v>0.385620036664827</v>
      </c>
      <c r="O14" s="91">
        <f aca="true" t="shared" si="16" ref="O14:O28">$J$14*($I14/$I$14)^$J$4+(1-$J$14)*($I14/$I$14)^$K$4</f>
        <v>1</v>
      </c>
      <c r="P14" s="91">
        <v>1</v>
      </c>
      <c r="AF14" s="91">
        <f t="shared" si="2"/>
        <v>6</v>
      </c>
      <c r="AG14" s="91">
        <f t="shared" si="3"/>
        <v>4</v>
      </c>
      <c r="AH14" s="91">
        <f t="shared" si="4"/>
        <v>4750</v>
      </c>
      <c r="AI14" s="91">
        <f t="shared" si="5"/>
        <v>0.01414152063871954</v>
      </c>
      <c r="AJ14" s="91">
        <f t="shared" si="8"/>
        <v>0.02485642775041988</v>
      </c>
      <c r="AK14" s="91">
        <f t="shared" si="11"/>
        <v>0.05168867811473438</v>
      </c>
      <c r="AL14" s="91">
        <f t="shared" si="13"/>
        <v>0.16744075361408411</v>
      </c>
      <c r="AM14" s="91">
        <f t="shared" si="15"/>
        <v>0.6187965309474656</v>
      </c>
      <c r="AN14" s="91">
        <f aca="true" t="shared" si="17" ref="AN14:AN28">P14-P15</f>
        <v>0</v>
      </c>
      <c r="BF14" s="91">
        <f t="shared" si="9"/>
        <v>15.571538796653869</v>
      </c>
    </row>
    <row r="15" spans="1:58" ht="12.75">
      <c r="A15" s="91">
        <f>Data_File!C33</f>
        <v>7</v>
      </c>
      <c r="B15" s="91">
        <f>Data_File!D33</f>
        <v>6</v>
      </c>
      <c r="C15" s="91">
        <f>Data_File!E33</f>
        <v>3350</v>
      </c>
      <c r="D15" s="91">
        <f t="shared" si="0"/>
        <v>2811.761014026619</v>
      </c>
      <c r="E15" s="91">
        <f t="shared" si="6"/>
        <v>1.4284064738264983</v>
      </c>
      <c r="G15" s="91">
        <f>Data_File!C33</f>
        <v>7</v>
      </c>
      <c r="H15" s="91">
        <f>Data_File!D33</f>
        <v>6</v>
      </c>
      <c r="I15" s="91">
        <f>Data_File!E33</f>
        <v>3350</v>
      </c>
      <c r="J15" s="91">
        <f t="shared" si="1"/>
        <v>0.2</v>
      </c>
      <c r="K15" s="91">
        <f t="shared" si="7"/>
        <v>0.1302792685002889</v>
      </c>
      <c r="L15" s="91">
        <f t="shared" si="10"/>
        <v>0.1472041059291314</v>
      </c>
      <c r="M15" s="91">
        <f t="shared" si="12"/>
        <v>0.16649060493600853</v>
      </c>
      <c r="N15" s="91">
        <f t="shared" si="14"/>
        <v>0.2181792830507429</v>
      </c>
      <c r="O15" s="91">
        <f t="shared" si="16"/>
        <v>0.38120346905253444</v>
      </c>
      <c r="P15" s="91">
        <f aca="true" t="shared" si="18" ref="P15:P28">$J$15*($I15/$I$15)^$J$4+(1-$J$15)*($I15/$I$15)^$K$4</f>
        <v>1</v>
      </c>
      <c r="Q15" s="91">
        <v>1</v>
      </c>
      <c r="AF15" s="91">
        <f t="shared" si="2"/>
        <v>7</v>
      </c>
      <c r="AG15" s="91">
        <f t="shared" si="3"/>
        <v>6</v>
      </c>
      <c r="AH15" s="91">
        <f t="shared" si="4"/>
        <v>3350</v>
      </c>
      <c r="AI15" s="91">
        <f t="shared" si="5"/>
        <v>0.011436324683899629</v>
      </c>
      <c r="AJ15" s="91">
        <f t="shared" si="8"/>
        <v>0.014937360139199274</v>
      </c>
      <c r="AK15" s="91">
        <f t="shared" si="11"/>
        <v>0.022246278985090046</v>
      </c>
      <c r="AL15" s="91">
        <f t="shared" si="13"/>
        <v>0.051786633328639864</v>
      </c>
      <c r="AM15" s="91">
        <f t="shared" si="15"/>
        <v>0.16454160493321668</v>
      </c>
      <c r="AN15" s="91">
        <f t="shared" si="17"/>
        <v>0.6197279265711453</v>
      </c>
      <c r="AO15" s="91">
        <f aca="true" t="shared" si="19" ref="AO15:AO28">Q15-Q16</f>
        <v>0</v>
      </c>
      <c r="BF15" s="91">
        <f t="shared" si="9"/>
        <v>14.284064738264984</v>
      </c>
    </row>
    <row r="16" spans="1:58" ht="12.75">
      <c r="A16" s="91">
        <f>Data_File!C34</f>
        <v>8</v>
      </c>
      <c r="B16" s="91">
        <f>Data_File!D34</f>
        <v>8</v>
      </c>
      <c r="C16" s="91">
        <f>Data_File!E34</f>
        <v>2360</v>
      </c>
      <c r="D16" s="91">
        <f t="shared" si="0"/>
        <v>2002.9977533686852</v>
      </c>
      <c r="E16" s="91">
        <f t="shared" si="6"/>
        <v>1.2214914657409541</v>
      </c>
      <c r="G16" s="91">
        <f>Data_File!C34</f>
        <v>8</v>
      </c>
      <c r="H16" s="91">
        <f>Data_File!D34</f>
        <v>8</v>
      </c>
      <c r="I16" s="91">
        <f>Data_File!E34</f>
        <v>2360</v>
      </c>
      <c r="J16" s="91">
        <f t="shared" si="1"/>
        <v>0.2</v>
      </c>
      <c r="K16" s="91">
        <f t="shared" si="7"/>
        <v>0.11884294381638927</v>
      </c>
      <c r="L16" s="91">
        <f t="shared" si="10"/>
        <v>0.13226674578993214</v>
      </c>
      <c r="M16" s="91">
        <f t="shared" si="12"/>
        <v>0.1442443259509185</v>
      </c>
      <c r="N16" s="91">
        <f t="shared" si="14"/>
        <v>0.16639264972210305</v>
      </c>
      <c r="O16" s="91">
        <f t="shared" si="16"/>
        <v>0.21666186411931776</v>
      </c>
      <c r="P16" s="91">
        <f t="shared" si="18"/>
        <v>0.3802720734288547</v>
      </c>
      <c r="Q16" s="91">
        <f aca="true" t="shared" si="20" ref="Q16:Q28">$J$16*($I16/$I$16)^$J$4+(1-$J$16)*($I16/$I$16)^$K$4</f>
        <v>1</v>
      </c>
      <c r="R16" s="91">
        <v>1</v>
      </c>
      <c r="AF16" s="91">
        <f t="shared" si="2"/>
        <v>8</v>
      </c>
      <c r="AG16" s="91">
        <f t="shared" si="3"/>
        <v>8</v>
      </c>
      <c r="AH16" s="91">
        <f t="shared" si="4"/>
        <v>2360</v>
      </c>
      <c r="AI16" s="91">
        <f t="shared" si="5"/>
        <v>0.009480047783217288</v>
      </c>
      <c r="AJ16" s="91">
        <f t="shared" si="8"/>
        <v>0.011036108517348653</v>
      </c>
      <c r="AK16" s="91">
        <f t="shared" si="11"/>
        <v>0.013343752382956764</v>
      </c>
      <c r="AL16" s="91">
        <f t="shared" si="13"/>
        <v>0.021130744144336827</v>
      </c>
      <c r="AM16" s="91">
        <f t="shared" si="15"/>
        <v>0.048844158612902616</v>
      </c>
      <c r="AN16" s="91">
        <f t="shared" si="17"/>
        <v>0.1584161656785177</v>
      </c>
      <c r="AO16" s="91">
        <f t="shared" si="19"/>
        <v>0.6003511320954933</v>
      </c>
      <c r="AP16" s="91">
        <f aca="true" t="shared" si="21" ref="AP16:AP28">R16-R17</f>
        <v>0</v>
      </c>
      <c r="BF16" s="91">
        <f t="shared" si="9"/>
        <v>12.21491465740954</v>
      </c>
    </row>
    <row r="17" spans="1:58" ht="12.75">
      <c r="A17" s="91">
        <f>Data_File!C35</f>
        <v>9</v>
      </c>
      <c r="B17" s="91">
        <f>Data_File!D35</f>
        <v>10</v>
      </c>
      <c r="C17" s="91">
        <f>Data_File!E35</f>
        <v>1700</v>
      </c>
      <c r="D17" s="91">
        <f t="shared" si="0"/>
        <v>1416.333294108417</v>
      </c>
      <c r="E17" s="91">
        <f t="shared" si="6"/>
        <v>1.0039104153538159</v>
      </c>
      <c r="G17" s="91">
        <f>Data_File!C35</f>
        <v>9</v>
      </c>
      <c r="H17" s="91">
        <f>Data_File!D35</f>
        <v>10</v>
      </c>
      <c r="I17" s="91">
        <f>Data_File!E35</f>
        <v>1700</v>
      </c>
      <c r="J17" s="91">
        <f t="shared" si="1"/>
        <v>0.2</v>
      </c>
      <c r="K17" s="91">
        <f t="shared" si="7"/>
        <v>0.10936289603317198</v>
      </c>
      <c r="L17" s="91">
        <f t="shared" si="10"/>
        <v>0.12123063727258349</v>
      </c>
      <c r="M17" s="91">
        <f t="shared" si="12"/>
        <v>0.13090057356796173</v>
      </c>
      <c r="N17" s="91">
        <f t="shared" si="14"/>
        <v>0.14526190557776622</v>
      </c>
      <c r="O17" s="91">
        <f t="shared" si="16"/>
        <v>0.16781770550641514</v>
      </c>
      <c r="P17" s="91">
        <f t="shared" si="18"/>
        <v>0.221855907750337</v>
      </c>
      <c r="Q17" s="91">
        <f t="shared" si="20"/>
        <v>0.3996488679045067</v>
      </c>
      <c r="R17" s="91">
        <f aca="true" t="shared" si="22" ref="R17:R28">$J$17*($I17/$I$17)^$J$4+(1-$J$17)*($I17/$I$17)^$K$4</f>
        <v>1</v>
      </c>
      <c r="S17" s="91">
        <v>1</v>
      </c>
      <c r="AF17" s="91">
        <f t="shared" si="2"/>
        <v>9</v>
      </c>
      <c r="AG17" s="91">
        <f t="shared" si="3"/>
        <v>10</v>
      </c>
      <c r="AH17" s="91">
        <f t="shared" si="4"/>
        <v>1700</v>
      </c>
      <c r="AI17" s="91">
        <f t="shared" si="5"/>
        <v>0.009574966548512767</v>
      </c>
      <c r="AJ17" s="91">
        <f t="shared" si="8"/>
        <v>0.010750551871057196</v>
      </c>
      <c r="AK17" s="91">
        <f t="shared" si="11"/>
        <v>0.011977653136971203</v>
      </c>
      <c r="AL17" s="91">
        <f t="shared" si="13"/>
        <v>0.014928971254715206</v>
      </c>
      <c r="AM17" s="91">
        <f t="shared" si="15"/>
        <v>0.023573379555496654</v>
      </c>
      <c r="AN17" s="91">
        <f t="shared" si="17"/>
        <v>0.05546325802823396</v>
      </c>
      <c r="AO17" s="91">
        <f t="shared" si="19"/>
        <v>0.1814695848537638</v>
      </c>
      <c r="AP17" s="91">
        <f t="shared" si="21"/>
        <v>0.6317428387530193</v>
      </c>
      <c r="AQ17" s="91">
        <f aca="true" t="shared" si="23" ref="AQ17:AQ28">S17-S18</f>
        <v>0</v>
      </c>
      <c r="BF17" s="91">
        <f t="shared" si="9"/>
        <v>10.039104153538158</v>
      </c>
    </row>
    <row r="18" spans="1:58" ht="12.75">
      <c r="A18" s="91">
        <f>Data_File!C36</f>
        <v>10</v>
      </c>
      <c r="B18" s="91">
        <f>Data_File!D36</f>
        <v>14</v>
      </c>
      <c r="C18" s="91">
        <f>Data_File!E36</f>
        <v>1180</v>
      </c>
      <c r="D18" s="91">
        <f t="shared" si="0"/>
        <v>1001.4988766843426</v>
      </c>
      <c r="E18" s="91">
        <f t="shared" si="6"/>
        <v>0.811495676068215</v>
      </c>
      <c r="G18" s="91">
        <f>Data_File!C36</f>
        <v>10</v>
      </c>
      <c r="H18" s="91">
        <f>Data_File!D36</f>
        <v>14</v>
      </c>
      <c r="I18" s="91">
        <f>Data_File!E36</f>
        <v>1180</v>
      </c>
      <c r="J18" s="91">
        <f t="shared" si="1"/>
        <v>0.2</v>
      </c>
      <c r="K18" s="91">
        <f t="shared" si="7"/>
        <v>0.09978792948465921</v>
      </c>
      <c r="L18" s="91">
        <f t="shared" si="10"/>
        <v>0.11048008540152629</v>
      </c>
      <c r="M18" s="91">
        <f t="shared" si="12"/>
        <v>0.11892292043099052</v>
      </c>
      <c r="N18" s="91">
        <f t="shared" si="14"/>
        <v>0.13033293432305101</v>
      </c>
      <c r="O18" s="91">
        <f t="shared" si="16"/>
        <v>0.1442443259509185</v>
      </c>
      <c r="P18" s="91">
        <f t="shared" si="18"/>
        <v>0.16639264972210305</v>
      </c>
      <c r="Q18" s="91">
        <f t="shared" si="20"/>
        <v>0.2181792830507429</v>
      </c>
      <c r="R18" s="91">
        <f t="shared" si="22"/>
        <v>0.3682571612469807</v>
      </c>
      <c r="S18" s="91">
        <f aca="true" t="shared" si="24" ref="S18:S28">$J$18*($I18/$I$18)^$J$4+(1-$J$18)*($I18/$I$18)^$K$4</f>
        <v>1</v>
      </c>
      <c r="T18" s="91">
        <v>1</v>
      </c>
      <c r="AF18" s="91">
        <f t="shared" si="2"/>
        <v>10</v>
      </c>
      <c r="AG18" s="91">
        <f t="shared" si="3"/>
        <v>14</v>
      </c>
      <c r="AH18" s="91">
        <f t="shared" si="4"/>
        <v>1180</v>
      </c>
      <c r="AI18" s="91">
        <f t="shared" si="5"/>
        <v>0.007864554016840622</v>
      </c>
      <c r="AJ18" s="91">
        <f t="shared" si="8"/>
        <v>0.008737604176804484</v>
      </c>
      <c r="AK18" s="91">
        <f t="shared" si="11"/>
        <v>0.00948764320106675</v>
      </c>
      <c r="AL18" s="91">
        <f t="shared" si="13"/>
        <v>0.010763714396805776</v>
      </c>
      <c r="AM18" s="91">
        <f t="shared" si="15"/>
        <v>0.013343752382956764</v>
      </c>
      <c r="AN18" s="91">
        <f t="shared" si="17"/>
        <v>0.021130744144336827</v>
      </c>
      <c r="AO18" s="91">
        <f t="shared" si="19"/>
        <v>0.04977946721055165</v>
      </c>
      <c r="AP18" s="91">
        <f t="shared" si="21"/>
        <v>0.1500778781962378</v>
      </c>
      <c r="AQ18" s="91">
        <f t="shared" si="23"/>
        <v>0.6003511320954933</v>
      </c>
      <c r="AR18" s="91">
        <f aca="true" t="shared" si="25" ref="AR18:AR28">T18-T19</f>
        <v>0</v>
      </c>
      <c r="BF18" s="91">
        <f t="shared" si="9"/>
        <v>8.114956760682151</v>
      </c>
    </row>
    <row r="19" spans="1:58" ht="12.75">
      <c r="A19" s="91">
        <f>Data_File!C37</f>
        <v>11</v>
      </c>
      <c r="B19" s="91">
        <f>Data_File!D37</f>
        <v>20</v>
      </c>
      <c r="C19" s="91">
        <f>Data_File!E37</f>
        <v>850</v>
      </c>
      <c r="D19" s="91">
        <f t="shared" si="0"/>
        <v>714.142842854285</v>
      </c>
      <c r="E19" s="91">
        <f t="shared" si="6"/>
        <v>0.6547717291315082</v>
      </c>
      <c r="G19" s="91">
        <f>Data_File!C37</f>
        <v>11</v>
      </c>
      <c r="H19" s="91">
        <f>Data_File!D37</f>
        <v>20</v>
      </c>
      <c r="I19" s="91">
        <f>Data_File!E37</f>
        <v>850</v>
      </c>
      <c r="J19" s="91">
        <f t="shared" si="1"/>
        <v>0.2</v>
      </c>
      <c r="K19" s="91">
        <f t="shared" si="7"/>
        <v>0.09192337546781859</v>
      </c>
      <c r="L19" s="91">
        <f t="shared" si="10"/>
        <v>0.1017424812247218</v>
      </c>
      <c r="M19" s="91">
        <f t="shared" si="12"/>
        <v>0.10943527722992377</v>
      </c>
      <c r="N19" s="91">
        <f t="shared" si="14"/>
        <v>0.11956921992624524</v>
      </c>
      <c r="O19" s="91">
        <f t="shared" si="16"/>
        <v>0.13090057356796173</v>
      </c>
      <c r="P19" s="91">
        <f t="shared" si="18"/>
        <v>0.14526190557776622</v>
      </c>
      <c r="Q19" s="91">
        <f t="shared" si="20"/>
        <v>0.16839981584019126</v>
      </c>
      <c r="R19" s="91">
        <f t="shared" si="22"/>
        <v>0.2181792830507429</v>
      </c>
      <c r="S19" s="91">
        <f t="shared" si="24"/>
        <v>0.3996488679045067</v>
      </c>
      <c r="T19" s="91">
        <f aca="true" t="shared" si="26" ref="T19:T28">$J$19*($I19/$I$19)^$J$4+(1-$J$19)*($I19/$I$19)^$K$4</f>
        <v>1</v>
      </c>
      <c r="U19" s="91">
        <v>1</v>
      </c>
      <c r="AF19" s="91">
        <f t="shared" si="2"/>
        <v>11</v>
      </c>
      <c r="AG19" s="91">
        <f t="shared" si="3"/>
        <v>20</v>
      </c>
      <c r="AH19" s="91">
        <f t="shared" si="4"/>
        <v>850</v>
      </c>
      <c r="AI19" s="91">
        <f t="shared" si="5"/>
        <v>0.0076679024367787285</v>
      </c>
      <c r="AJ19" s="91">
        <f t="shared" si="8"/>
        <v>0.008495358350484317</v>
      </c>
      <c r="AK19" s="91">
        <f t="shared" si="11"/>
        <v>0.009160422599576584</v>
      </c>
      <c r="AL19" s="91">
        <f t="shared" si="13"/>
        <v>0.010109761522585803</v>
      </c>
      <c r="AM19" s="91">
        <f t="shared" si="15"/>
        <v>0.011464473676513778</v>
      </c>
      <c r="AN19" s="91">
        <f t="shared" si="17"/>
        <v>0.014329905300158874</v>
      </c>
      <c r="AO19" s="91">
        <f t="shared" si="19"/>
        <v>0.023040676181279474</v>
      </c>
      <c r="AP19" s="91">
        <f t="shared" si="21"/>
        <v>0.0516113618568827</v>
      </c>
      <c r="AQ19" s="91">
        <f t="shared" si="23"/>
        <v>0.17728445532080253</v>
      </c>
      <c r="AR19" s="91">
        <f t="shared" si="25"/>
        <v>0.618060325752674</v>
      </c>
      <c r="AS19" s="91">
        <f aca="true" t="shared" si="27" ref="AS19:AS28">U19-U20</f>
        <v>0</v>
      </c>
      <c r="BF19" s="91">
        <f t="shared" si="9"/>
        <v>6.547717291315082</v>
      </c>
    </row>
    <row r="20" spans="1:58" ht="12.75">
      <c r="A20" s="91">
        <f>Data_File!C38</f>
        <v>12</v>
      </c>
      <c r="B20" s="91">
        <f>Data_File!D38</f>
        <v>28</v>
      </c>
      <c r="C20" s="91">
        <f>Data_File!E38</f>
        <v>600</v>
      </c>
      <c r="D20" s="91">
        <f t="shared" si="0"/>
        <v>504.9752469181039</v>
      </c>
      <c r="E20" s="91">
        <f t="shared" si="6"/>
        <v>0.5238985057284355</v>
      </c>
      <c r="G20" s="91">
        <f>Data_File!C38</f>
        <v>12</v>
      </c>
      <c r="H20" s="91">
        <f>Data_File!D38</f>
        <v>28</v>
      </c>
      <c r="I20" s="91">
        <f>Data_File!E38</f>
        <v>600</v>
      </c>
      <c r="J20" s="91">
        <f t="shared" si="1"/>
        <v>0.2</v>
      </c>
      <c r="K20" s="91">
        <f t="shared" si="7"/>
        <v>0.08425547303103986</v>
      </c>
      <c r="L20" s="91">
        <f t="shared" si="10"/>
        <v>0.09324712287423749</v>
      </c>
      <c r="M20" s="91">
        <f t="shared" si="12"/>
        <v>0.10027485463034719</v>
      </c>
      <c r="N20" s="91">
        <f t="shared" si="14"/>
        <v>0.10945945840365943</v>
      </c>
      <c r="O20" s="91">
        <f t="shared" si="16"/>
        <v>0.11943609989144795</v>
      </c>
      <c r="P20" s="91">
        <f t="shared" si="18"/>
        <v>0.13093200027760735</v>
      </c>
      <c r="Q20" s="91">
        <f t="shared" si="20"/>
        <v>0.14535913965891178</v>
      </c>
      <c r="R20" s="91">
        <f t="shared" si="22"/>
        <v>0.1665679211938602</v>
      </c>
      <c r="S20" s="91">
        <f t="shared" si="24"/>
        <v>0.22236441258370418</v>
      </c>
      <c r="T20" s="91">
        <f t="shared" si="26"/>
        <v>0.381939674247326</v>
      </c>
      <c r="U20" s="91">
        <f aca="true" t="shared" si="28" ref="U20:U28">$J$20*($I20/$I$20)^$J$4+(1-$J$20)*($I20/$I$20)^$K$4</f>
        <v>1</v>
      </c>
      <c r="V20" s="91">
        <v>1</v>
      </c>
      <c r="AF20" s="91">
        <f t="shared" si="2"/>
        <v>12</v>
      </c>
      <c r="AG20" s="91">
        <f t="shared" si="3"/>
        <v>28</v>
      </c>
      <c r="AH20" s="91">
        <f t="shared" si="4"/>
        <v>600</v>
      </c>
      <c r="AI20" s="91">
        <f t="shared" si="5"/>
        <v>0.006959904357644986</v>
      </c>
      <c r="AJ20" s="91">
        <f t="shared" si="8"/>
        <v>0.0077047305756453716</v>
      </c>
      <c r="AK20" s="91">
        <f t="shared" si="11"/>
        <v>0.008291031420284756</v>
      </c>
      <c r="AL20" s="91">
        <f t="shared" si="13"/>
        <v>0.009075442227185662</v>
      </c>
      <c r="AM20" s="91">
        <f t="shared" si="15"/>
        <v>0.010000822661524175</v>
      </c>
      <c r="AN20" s="91">
        <f t="shared" si="17"/>
        <v>0.011362780351362109</v>
      </c>
      <c r="AO20" s="91">
        <f t="shared" si="19"/>
        <v>0.014231305973316372</v>
      </c>
      <c r="AP20" s="91">
        <f t="shared" si="21"/>
        <v>0.022021564956550693</v>
      </c>
      <c r="AQ20" s="91">
        <f t="shared" si="23"/>
        <v>0.05396459674351292</v>
      </c>
      <c r="AR20" s="91">
        <f t="shared" si="25"/>
        <v>0.1637603911965831</v>
      </c>
      <c r="AS20" s="91">
        <f t="shared" si="27"/>
        <v>0.6151284108192908</v>
      </c>
      <c r="AT20" s="91">
        <f aca="true" t="shared" si="29" ref="AT20:AT28">V20-V21</f>
        <v>0</v>
      </c>
      <c r="BF20" s="91">
        <f t="shared" si="9"/>
        <v>5.2389850572843555</v>
      </c>
    </row>
    <row r="21" spans="1:58" ht="12.75">
      <c r="A21" s="91">
        <f>Data_File!C39</f>
        <v>13</v>
      </c>
      <c r="B21" s="91">
        <f>Data_File!D39</f>
        <v>35</v>
      </c>
      <c r="C21" s="91">
        <f>Data_File!E39</f>
        <v>425</v>
      </c>
      <c r="D21" s="91">
        <f t="shared" si="0"/>
        <v>357.0714214271425</v>
      </c>
      <c r="E21" s="91">
        <f t="shared" si="6"/>
        <v>0.4186298273284206</v>
      </c>
      <c r="G21" s="91">
        <f>Data_File!C39</f>
        <v>13</v>
      </c>
      <c r="H21" s="91">
        <f>Data_File!D39</f>
        <v>35</v>
      </c>
      <c r="I21" s="91">
        <f>Data_File!E39</f>
        <v>425</v>
      </c>
      <c r="J21" s="91">
        <f t="shared" si="1"/>
        <v>0.2</v>
      </c>
      <c r="K21" s="91">
        <f t="shared" si="7"/>
        <v>0.07729556867339488</v>
      </c>
      <c r="L21" s="91">
        <f t="shared" si="10"/>
        <v>0.08554239229859212</v>
      </c>
      <c r="M21" s="91">
        <f t="shared" si="12"/>
        <v>0.09198382321006243</v>
      </c>
      <c r="N21" s="91">
        <f t="shared" si="14"/>
        <v>0.10038401617647377</v>
      </c>
      <c r="O21" s="91">
        <f t="shared" si="16"/>
        <v>0.10943527722992377</v>
      </c>
      <c r="P21" s="91">
        <f t="shared" si="18"/>
        <v>0.11956921992624524</v>
      </c>
      <c r="Q21" s="91">
        <f t="shared" si="20"/>
        <v>0.1311278336855954</v>
      </c>
      <c r="R21" s="91">
        <f t="shared" si="22"/>
        <v>0.14454635623730952</v>
      </c>
      <c r="S21" s="91">
        <f t="shared" si="24"/>
        <v>0.16839981584019126</v>
      </c>
      <c r="T21" s="91">
        <f t="shared" si="26"/>
        <v>0.2181792830507429</v>
      </c>
      <c r="U21" s="91">
        <f t="shared" si="28"/>
        <v>0.3848715891807092</v>
      </c>
      <c r="V21" s="91">
        <f aca="true" t="shared" si="30" ref="V21:V28">$J$21*($I21/$I$21)^$J$4+(1-$J$21)*($I21/$I$21)^$K$4</f>
        <v>1</v>
      </c>
      <c r="W21" s="91">
        <v>1</v>
      </c>
      <c r="AF21" s="91">
        <f t="shared" si="2"/>
        <v>13</v>
      </c>
      <c r="AG21" s="91">
        <f t="shared" si="3"/>
        <v>35</v>
      </c>
      <c r="AH21" s="91">
        <f t="shared" si="4"/>
        <v>425</v>
      </c>
      <c r="AI21" s="91">
        <f t="shared" si="5"/>
        <v>0.006446056232050593</v>
      </c>
      <c r="AJ21" s="91">
        <f t="shared" si="8"/>
        <v>0.0071343232204866824</v>
      </c>
      <c r="AK21" s="91">
        <f t="shared" si="11"/>
        <v>0.00767296576258214</v>
      </c>
      <c r="AL21" s="91">
        <f t="shared" si="13"/>
        <v>0.008379999443709651</v>
      </c>
      <c r="AM21" s="91">
        <f t="shared" si="15"/>
        <v>0.009160422599576584</v>
      </c>
      <c r="AN21" s="91">
        <f t="shared" si="17"/>
        <v>0.010109761522585803</v>
      </c>
      <c r="AO21" s="91">
        <f t="shared" si="19"/>
        <v>0.011497497832222606</v>
      </c>
      <c r="AP21" s="91">
        <f t="shared" si="21"/>
        <v>0.014142724766872256</v>
      </c>
      <c r="AQ21" s="91">
        <f t="shared" si="23"/>
        <v>0.023040676181279474</v>
      </c>
      <c r="AR21" s="91">
        <f t="shared" si="25"/>
        <v>0.0516113618568827</v>
      </c>
      <c r="AS21" s="91">
        <f t="shared" si="27"/>
        <v>0.16669230612996627</v>
      </c>
      <c r="AT21" s="91">
        <f t="shared" si="29"/>
        <v>0.618060325752674</v>
      </c>
      <c r="AU21" s="91">
        <f aca="true" t="shared" si="31" ref="AU21:AU28">W21-W22</f>
        <v>0</v>
      </c>
      <c r="BF21" s="91">
        <f t="shared" si="9"/>
        <v>4.186298273284206</v>
      </c>
    </row>
    <row r="22" spans="1:58" ht="12.75">
      <c r="A22" s="91">
        <f>Data_File!C40</f>
        <v>14</v>
      </c>
      <c r="B22" s="91">
        <f>Data_File!D40</f>
        <v>48</v>
      </c>
      <c r="C22" s="91">
        <f>Data_File!E40</f>
        <v>300</v>
      </c>
      <c r="D22" s="91">
        <f t="shared" si="0"/>
        <v>252.19040425836982</v>
      </c>
      <c r="E22" s="91">
        <f t="shared" si="6"/>
        <v>0.3340712187701149</v>
      </c>
      <c r="G22" s="91">
        <f>Data_File!C40</f>
        <v>14</v>
      </c>
      <c r="H22" s="91">
        <f>Data_File!D40</f>
        <v>48</v>
      </c>
      <c r="I22" s="91">
        <f>Data_File!E40</f>
        <v>300</v>
      </c>
      <c r="J22" s="91">
        <f t="shared" si="1"/>
        <v>0.2</v>
      </c>
      <c r="K22" s="91">
        <f t="shared" si="7"/>
        <v>0.07084951244134428</v>
      </c>
      <c r="L22" s="91">
        <f t="shared" si="10"/>
        <v>0.07840806907810544</v>
      </c>
      <c r="M22" s="91">
        <f t="shared" si="12"/>
        <v>0.08431085744748029</v>
      </c>
      <c r="N22" s="91">
        <f t="shared" si="14"/>
        <v>0.09200401673276412</v>
      </c>
      <c r="O22" s="91">
        <f t="shared" si="16"/>
        <v>0.10027485463034719</v>
      </c>
      <c r="P22" s="91">
        <f t="shared" si="18"/>
        <v>0.10945945840365943</v>
      </c>
      <c r="Q22" s="91">
        <f t="shared" si="20"/>
        <v>0.11963033585337281</v>
      </c>
      <c r="R22" s="91">
        <f t="shared" si="22"/>
        <v>0.13040363147043726</v>
      </c>
      <c r="S22" s="91">
        <f t="shared" si="24"/>
        <v>0.14535913965891178</v>
      </c>
      <c r="T22" s="91">
        <f t="shared" si="26"/>
        <v>0.1665679211938602</v>
      </c>
      <c r="U22" s="91">
        <f t="shared" si="28"/>
        <v>0.2181792830507429</v>
      </c>
      <c r="V22" s="91">
        <f t="shared" si="30"/>
        <v>0.381939674247326</v>
      </c>
      <c r="W22" s="91">
        <f aca="true" t="shared" si="32" ref="W22:W28">$J$22*($I22/$I$22)^$J$4+(1-$J$22)*($I22/$I$22)^$K$4</f>
        <v>1</v>
      </c>
      <c r="X22" s="91">
        <v>1</v>
      </c>
      <c r="AF22" s="91">
        <f t="shared" si="2"/>
        <v>14</v>
      </c>
      <c r="AG22" s="91">
        <f t="shared" si="3"/>
        <v>48</v>
      </c>
      <c r="AH22" s="91">
        <f t="shared" si="4"/>
        <v>300</v>
      </c>
      <c r="AI22" s="91">
        <f t="shared" si="5"/>
        <v>0.005890367756512929</v>
      </c>
      <c r="AJ22" s="91">
        <f t="shared" si="8"/>
        <v>0.006518909597317435</v>
      </c>
      <c r="AK22" s="91">
        <f t="shared" si="11"/>
        <v>0.007010024395657774</v>
      </c>
      <c r="AL22" s="91">
        <f t="shared" si="13"/>
        <v>0.007651238895190163</v>
      </c>
      <c r="AM22" s="91">
        <f t="shared" si="15"/>
        <v>0.008345215526159896</v>
      </c>
      <c r="AN22" s="91">
        <f t="shared" si="17"/>
        <v>0.009134657671114238</v>
      </c>
      <c r="AO22" s="91">
        <f t="shared" si="19"/>
        <v>0.010085341718243004</v>
      </c>
      <c r="AP22" s="91">
        <f t="shared" si="21"/>
        <v>0.0113594543958557</v>
      </c>
      <c r="AQ22" s="91">
        <f t="shared" si="23"/>
        <v>0.014315903838706928</v>
      </c>
      <c r="AR22" s="91">
        <f t="shared" si="25"/>
        <v>0.02213413561384575</v>
      </c>
      <c r="AS22" s="91">
        <f t="shared" si="27"/>
        <v>0.051513295280569</v>
      </c>
      <c r="AT22" s="91">
        <f t="shared" si="29"/>
        <v>0.16432833753634296</v>
      </c>
      <c r="AU22" s="91">
        <f t="shared" si="31"/>
        <v>0.6171252039676811</v>
      </c>
      <c r="AV22" s="91">
        <f aca="true" t="shared" si="33" ref="AV22:AV28">X22-X23</f>
        <v>0</v>
      </c>
      <c r="BF22" s="91">
        <f t="shared" si="9"/>
        <v>3.340712187701149</v>
      </c>
    </row>
    <row r="23" spans="1:58" ht="12.75">
      <c r="A23" s="91">
        <f>Data_File!C41</f>
        <v>15</v>
      </c>
      <c r="B23" s="91">
        <f>Data_File!D41</f>
        <v>65</v>
      </c>
      <c r="C23" s="91">
        <f>Data_File!E41</f>
        <v>212</v>
      </c>
      <c r="D23" s="91">
        <f t="shared" si="0"/>
        <v>178.3255450012701</v>
      </c>
      <c r="E23" s="91">
        <f t="shared" si="6"/>
        <v>0.26673377846719976</v>
      </c>
      <c r="G23" s="91">
        <f>Data_File!C41</f>
        <v>15</v>
      </c>
      <c r="H23" s="91">
        <f>Data_File!D41</f>
        <v>65</v>
      </c>
      <c r="I23" s="91">
        <f>Data_File!E41</f>
        <v>212</v>
      </c>
      <c r="J23" s="91">
        <f t="shared" si="1"/>
        <v>0.2</v>
      </c>
      <c r="K23" s="91">
        <f t="shared" si="7"/>
        <v>0.06495914468483135</v>
      </c>
      <c r="L23" s="91">
        <f t="shared" si="10"/>
        <v>0.071889159480788</v>
      </c>
      <c r="M23" s="91">
        <f t="shared" si="12"/>
        <v>0.07730083305182252</v>
      </c>
      <c r="N23" s="91">
        <f t="shared" si="14"/>
        <v>0.08435277783757396</v>
      </c>
      <c r="O23" s="91">
        <f t="shared" si="16"/>
        <v>0.09192963910418729</v>
      </c>
      <c r="P23" s="91">
        <f t="shared" si="18"/>
        <v>0.1003248007325452</v>
      </c>
      <c r="Q23" s="91">
        <f t="shared" si="20"/>
        <v>0.1095449941351298</v>
      </c>
      <c r="R23" s="91">
        <f t="shared" si="22"/>
        <v>0.11904417707458156</v>
      </c>
      <c r="S23" s="91">
        <f t="shared" si="24"/>
        <v>0.13104323582020486</v>
      </c>
      <c r="T23" s="91">
        <f t="shared" si="26"/>
        <v>0.14443378558001446</v>
      </c>
      <c r="U23" s="91">
        <f t="shared" si="28"/>
        <v>0.1666659877701739</v>
      </c>
      <c r="V23" s="91">
        <f t="shared" si="30"/>
        <v>0.21761133671098304</v>
      </c>
      <c r="W23" s="91">
        <f t="shared" si="32"/>
        <v>0.3828747960323189</v>
      </c>
      <c r="X23" s="91">
        <f aca="true" t="shared" si="34" ref="X23:X28">$J$23*($I23/$I$23)^$J$4+(1-$J$23)*($I23/$I$23)^$K$4</f>
        <v>1</v>
      </c>
      <c r="Y23" s="91">
        <v>1</v>
      </c>
      <c r="AF23" s="91">
        <f t="shared" si="2"/>
        <v>15</v>
      </c>
      <c r="AG23" s="91">
        <f t="shared" si="3"/>
        <v>65</v>
      </c>
      <c r="AH23" s="91">
        <f t="shared" si="4"/>
        <v>212</v>
      </c>
      <c r="AI23" s="91">
        <f t="shared" si="5"/>
        <v>0.005382081950179203</v>
      </c>
      <c r="AJ23" s="91">
        <f t="shared" si="8"/>
        <v>0.005956289158516231</v>
      </c>
      <c r="AK23" s="91">
        <f t="shared" si="11"/>
        <v>0.006404754529223525</v>
      </c>
      <c r="AL23" s="91">
        <f t="shared" si="13"/>
        <v>0.00698943306895522</v>
      </c>
      <c r="AM23" s="91">
        <f t="shared" si="15"/>
        <v>0.007618781656706999</v>
      </c>
      <c r="AN23" s="91">
        <f t="shared" si="17"/>
        <v>0.008320783999781076</v>
      </c>
      <c r="AO23" s="91">
        <f t="shared" si="19"/>
        <v>0.009110876286066327</v>
      </c>
      <c r="AP23" s="91">
        <f t="shared" si="21"/>
        <v>0.009992151857383308</v>
      </c>
      <c r="AQ23" s="91">
        <f t="shared" si="23"/>
        <v>0.011412899966832049</v>
      </c>
      <c r="AR23" s="91">
        <f t="shared" si="25"/>
        <v>0.014030154109577198</v>
      </c>
      <c r="AS23" s="91">
        <f t="shared" si="27"/>
        <v>0.022119631532864392</v>
      </c>
      <c r="AT23" s="91">
        <f t="shared" si="29"/>
        <v>0.051043415517122825</v>
      </c>
      <c r="AU23" s="91">
        <f t="shared" si="31"/>
        <v>0.16469551298157598</v>
      </c>
      <c r="AV23" s="91">
        <f t="shared" si="33"/>
        <v>0.6160719338493335</v>
      </c>
      <c r="AW23" s="91">
        <f aca="true" t="shared" si="35" ref="AW23:AW28">Y23-Y24</f>
        <v>0</v>
      </c>
      <c r="BF23" s="91">
        <f t="shared" si="9"/>
        <v>2.6673377846719974</v>
      </c>
    </row>
    <row r="24" spans="1:58" ht="12.75">
      <c r="A24" s="91">
        <f>Data_File!C42</f>
        <v>16</v>
      </c>
      <c r="B24" s="91">
        <f>Data_File!D42</f>
        <v>100</v>
      </c>
      <c r="C24" s="91">
        <f>Data_File!E42</f>
        <v>150</v>
      </c>
      <c r="D24" s="91">
        <f t="shared" si="0"/>
        <v>126.09520212918491</v>
      </c>
      <c r="E24" s="91">
        <f t="shared" si="6"/>
        <v>0.21294834101454668</v>
      </c>
      <c r="G24" s="91">
        <f>Data_File!C42</f>
        <v>16</v>
      </c>
      <c r="H24" s="91">
        <f>Data_File!D42</f>
        <v>100</v>
      </c>
      <c r="I24" s="91">
        <f>Data_File!E42</f>
        <v>150</v>
      </c>
      <c r="J24" s="91">
        <f t="shared" si="1"/>
        <v>0.2</v>
      </c>
      <c r="K24" s="91">
        <f t="shared" si="7"/>
        <v>0.05957706273465215</v>
      </c>
      <c r="L24" s="91">
        <f t="shared" si="10"/>
        <v>0.06593287032227177</v>
      </c>
      <c r="M24" s="91">
        <f t="shared" si="12"/>
        <v>0.070896078522599</v>
      </c>
      <c r="N24" s="91">
        <f t="shared" si="14"/>
        <v>0.07736334476861874</v>
      </c>
      <c r="O24" s="91">
        <f t="shared" si="16"/>
        <v>0.08431085744748029</v>
      </c>
      <c r="P24" s="91">
        <f t="shared" si="18"/>
        <v>0.09200401673276412</v>
      </c>
      <c r="Q24" s="91">
        <f t="shared" si="20"/>
        <v>0.10043411784906348</v>
      </c>
      <c r="R24" s="91">
        <f t="shared" si="22"/>
        <v>0.10905202521719826</v>
      </c>
      <c r="S24" s="91">
        <f t="shared" si="24"/>
        <v>0.11963033585337281</v>
      </c>
      <c r="T24" s="91">
        <f t="shared" si="26"/>
        <v>0.13040363147043726</v>
      </c>
      <c r="U24" s="91">
        <f t="shared" si="28"/>
        <v>0.14454635623730952</v>
      </c>
      <c r="V24" s="91">
        <f t="shared" si="30"/>
        <v>0.1665679211938602</v>
      </c>
      <c r="W24" s="91">
        <f t="shared" si="32"/>
        <v>0.2181792830507429</v>
      </c>
      <c r="X24" s="91">
        <f t="shared" si="34"/>
        <v>0.3839280661506665</v>
      </c>
      <c r="Y24" s="91">
        <f>$J$24*($I24/$I$24)^$J$4+(1-$J$24)*($I24/$I$24)^$K$4</f>
        <v>1</v>
      </c>
      <c r="Z24" s="91">
        <v>1</v>
      </c>
      <c r="AF24" s="91">
        <f t="shared" si="2"/>
        <v>16</v>
      </c>
      <c r="AG24" s="91">
        <f t="shared" si="3"/>
        <v>100</v>
      </c>
      <c r="AH24" s="91">
        <f t="shared" si="4"/>
        <v>150</v>
      </c>
      <c r="AI24" s="91">
        <f t="shared" si="5"/>
        <v>0.004953160382350878</v>
      </c>
      <c r="AJ24" s="91">
        <f t="shared" si="8"/>
        <v>0.005481582171823582</v>
      </c>
      <c r="AK24" s="91">
        <f t="shared" si="11"/>
        <v>0.005894239546099092</v>
      </c>
      <c r="AL24" s="91">
        <f t="shared" si="13"/>
        <v>0.006432020484526499</v>
      </c>
      <c r="AM24" s="91">
        <f t="shared" si="15"/>
        <v>0.007010024395657774</v>
      </c>
      <c r="AN24" s="91">
        <f t="shared" si="17"/>
        <v>0.007651238895190163</v>
      </c>
      <c r="AO24" s="91">
        <f t="shared" si="19"/>
        <v>0.008358674541176628</v>
      </c>
      <c r="AP24" s="91">
        <f t="shared" si="21"/>
        <v>0.009098808174677717</v>
      </c>
      <c r="AQ24" s="91">
        <f t="shared" si="23"/>
        <v>0.010085341718243004</v>
      </c>
      <c r="AR24" s="91">
        <f t="shared" si="25"/>
        <v>0.0113594543958557</v>
      </c>
      <c r="AS24" s="91">
        <f t="shared" si="27"/>
        <v>0.01410327805817585</v>
      </c>
      <c r="AT24" s="91">
        <f t="shared" si="29"/>
        <v>0.02213413561384575</v>
      </c>
      <c r="AU24" s="91">
        <f t="shared" si="31"/>
        <v>0.051513295280569</v>
      </c>
      <c r="AV24" s="91">
        <f t="shared" si="33"/>
        <v>0.16574878309992358</v>
      </c>
      <c r="AW24" s="91">
        <f t="shared" si="35"/>
        <v>0.6171252039676811</v>
      </c>
      <c r="AX24" s="91">
        <f>Z24-Z25</f>
        <v>0</v>
      </c>
      <c r="BF24" s="91">
        <f t="shared" si="9"/>
        <v>2.129483410145467</v>
      </c>
    </row>
    <row r="25" spans="1:58" ht="12.75">
      <c r="A25" s="91">
        <f>Data_File!C43</f>
        <v>17</v>
      </c>
      <c r="B25" s="91">
        <f>Data_File!D43</f>
        <v>150</v>
      </c>
      <c r="C25" s="91">
        <f>Data_File!E43</f>
        <v>106</v>
      </c>
      <c r="D25" s="91">
        <f t="shared" si="0"/>
        <v>89.16277250063504</v>
      </c>
      <c r="E25" s="91">
        <f t="shared" si="6"/>
        <v>0.17000141798519863</v>
      </c>
      <c r="G25" s="91">
        <f>Data_File!C43</f>
        <v>17</v>
      </c>
      <c r="H25" s="91">
        <f>Data_File!D43</f>
        <v>150</v>
      </c>
      <c r="I25" s="91">
        <f>Data_File!E43</f>
        <v>106</v>
      </c>
      <c r="J25" s="91">
        <f t="shared" si="1"/>
        <v>0.2</v>
      </c>
      <c r="K25" s="91">
        <f t="shared" si="7"/>
        <v>0.05462390235230127</v>
      </c>
      <c r="L25" s="91">
        <f t="shared" si="10"/>
        <v>0.06045128815044819</v>
      </c>
      <c r="M25" s="91">
        <f t="shared" si="12"/>
        <v>0.0650018389764999</v>
      </c>
      <c r="N25" s="91">
        <f t="shared" si="14"/>
        <v>0.07093132428409224</v>
      </c>
      <c r="O25" s="91">
        <f t="shared" si="16"/>
        <v>0.07730083305182252</v>
      </c>
      <c r="P25" s="91">
        <f t="shared" si="18"/>
        <v>0.08435277783757396</v>
      </c>
      <c r="Q25" s="91">
        <f t="shared" si="20"/>
        <v>0.09207544330788685</v>
      </c>
      <c r="R25" s="91">
        <f t="shared" si="22"/>
        <v>0.09995321704252054</v>
      </c>
      <c r="S25" s="91">
        <f t="shared" si="24"/>
        <v>0.1095449941351298</v>
      </c>
      <c r="T25" s="91">
        <f t="shared" si="26"/>
        <v>0.11904417707458156</v>
      </c>
      <c r="U25" s="91">
        <f t="shared" si="28"/>
        <v>0.13044307817913367</v>
      </c>
      <c r="V25" s="91">
        <f t="shared" si="30"/>
        <v>0.14443378558001446</v>
      </c>
      <c r="W25" s="91">
        <f t="shared" si="32"/>
        <v>0.1666659877701739</v>
      </c>
      <c r="X25" s="91">
        <f t="shared" si="34"/>
        <v>0.2181792830507429</v>
      </c>
      <c r="Y25" s="91">
        <f>$J$24*($I25/$I$24)^$J$4+(1-$J$24)*($I25/$I$24)^$K$4</f>
        <v>0.3828747960323189</v>
      </c>
      <c r="Z25" s="91">
        <f>$J$25*($I25/$I$25)^$J$4+(1-$J$25)*($I25/$I$25)^$K$4</f>
        <v>1</v>
      </c>
      <c r="AA25" s="91">
        <v>1</v>
      </c>
      <c r="AF25" s="91">
        <f t="shared" si="2"/>
        <v>17</v>
      </c>
      <c r="AG25" s="91">
        <f t="shared" si="3"/>
        <v>150</v>
      </c>
      <c r="AH25" s="91">
        <f t="shared" si="4"/>
        <v>106</v>
      </c>
      <c r="AI25" s="91">
        <f t="shared" si="5"/>
        <v>0.004525766261120848</v>
      </c>
      <c r="AJ25" s="91">
        <f t="shared" si="8"/>
        <v>0.0050085859673413904</v>
      </c>
      <c r="AK25" s="91">
        <f t="shared" si="11"/>
        <v>0.0053856193957976875</v>
      </c>
      <c r="AL25" s="91">
        <f t="shared" si="13"/>
        <v>0.005876921439305127</v>
      </c>
      <c r="AM25" s="91">
        <f t="shared" si="15"/>
        <v>0.006404754529223525</v>
      </c>
      <c r="AN25" s="91">
        <f t="shared" si="17"/>
        <v>0.00698943306895522</v>
      </c>
      <c r="AO25" s="91">
        <f t="shared" si="19"/>
        <v>0.007630916309792485</v>
      </c>
      <c r="AP25" s="91">
        <f t="shared" si="21"/>
        <v>0.008289505025118285</v>
      </c>
      <c r="AQ25" s="91">
        <f t="shared" si="23"/>
        <v>0.009110876286066327</v>
      </c>
      <c r="AR25" s="91">
        <f t="shared" si="25"/>
        <v>0.009992151857383308</v>
      </c>
      <c r="AS25" s="91">
        <f t="shared" si="27"/>
        <v>0.011327054178861554</v>
      </c>
      <c r="AT25" s="91">
        <f t="shared" si="29"/>
        <v>0.014030154109577198</v>
      </c>
      <c r="AU25" s="91">
        <f t="shared" si="31"/>
        <v>0.022119631532864392</v>
      </c>
      <c r="AV25" s="91">
        <f t="shared" si="33"/>
        <v>0.051403024474301146</v>
      </c>
      <c r="AW25" s="91">
        <f t="shared" si="35"/>
        <v>0.16469551298157598</v>
      </c>
      <c r="AX25" s="91">
        <f>Z25-Z26</f>
        <v>0.6160719338493335</v>
      </c>
      <c r="AY25" s="91">
        <f>AA25-AA26</f>
        <v>0</v>
      </c>
      <c r="BF25" s="91">
        <f t="shared" si="9"/>
        <v>1.7000141798519863</v>
      </c>
    </row>
    <row r="26" spans="1:58" ht="12.75">
      <c r="A26" s="91">
        <f>Data_File!C44</f>
        <v>18</v>
      </c>
      <c r="B26" s="91">
        <f>Data_File!D44</f>
        <v>200</v>
      </c>
      <c r="C26" s="91">
        <f>Data_File!E44</f>
        <v>75</v>
      </c>
      <c r="D26" s="91">
        <f t="shared" si="0"/>
        <v>63.047601064592456</v>
      </c>
      <c r="E26" s="91">
        <f t="shared" si="6"/>
        <v>0.13571356983641714</v>
      </c>
      <c r="G26" s="91">
        <f>Data_File!C44</f>
        <v>18</v>
      </c>
      <c r="H26" s="91">
        <f>Data_File!D44</f>
        <v>200</v>
      </c>
      <c r="I26" s="91">
        <f>Data_File!E44</f>
        <v>75</v>
      </c>
      <c r="J26" s="91">
        <f t="shared" si="1"/>
        <v>0.2</v>
      </c>
      <c r="K26" s="91">
        <f t="shared" si="7"/>
        <v>0.050098136091180426</v>
      </c>
      <c r="L26" s="91">
        <f t="shared" si="10"/>
        <v>0.0554427021831068</v>
      </c>
      <c r="M26" s="91">
        <f t="shared" si="12"/>
        <v>0.059616219580702214</v>
      </c>
      <c r="N26" s="91">
        <f t="shared" si="14"/>
        <v>0.06505440284478711</v>
      </c>
      <c r="O26" s="91">
        <f t="shared" si="16"/>
        <v>0.070896078522599</v>
      </c>
      <c r="P26" s="91">
        <f t="shared" si="18"/>
        <v>0.07736334476861874</v>
      </c>
      <c r="Q26" s="91">
        <f t="shared" si="20"/>
        <v>0.08444452699809436</v>
      </c>
      <c r="R26" s="91">
        <f t="shared" si="22"/>
        <v>0.09166371201740225</v>
      </c>
      <c r="S26" s="91">
        <f t="shared" si="24"/>
        <v>0.10043411784906348</v>
      </c>
      <c r="T26" s="91">
        <f t="shared" si="26"/>
        <v>0.10905202521719826</v>
      </c>
      <c r="U26" s="91">
        <f t="shared" si="28"/>
        <v>0.11911602400027212</v>
      </c>
      <c r="V26" s="91">
        <f t="shared" si="30"/>
        <v>0.13040363147043726</v>
      </c>
      <c r="W26" s="91">
        <f t="shared" si="32"/>
        <v>0.14454635623730952</v>
      </c>
      <c r="X26" s="91">
        <f t="shared" si="34"/>
        <v>0.16677625857644177</v>
      </c>
      <c r="Y26" s="91">
        <f>$J$24*($I26/$I$24)^$J$4+(1-$J$24)*($I26/$I$24)^$K$4</f>
        <v>0.2181792830507429</v>
      </c>
      <c r="Z26" s="91">
        <f>$J$25*($I26/$I$25)^$J$4+(1-$J$25)*($I26/$I$25)^$K$4</f>
        <v>0.3839280661506665</v>
      </c>
      <c r="AA26" s="91">
        <f>$J$26*($I26/$I$26)^$J$4+(1-$J$26)*($I26/$I$26)^$K$4</f>
        <v>1</v>
      </c>
      <c r="AB26" s="91">
        <v>1</v>
      </c>
      <c r="AF26" s="91">
        <f t="shared" si="2"/>
        <v>18</v>
      </c>
      <c r="AG26" s="91">
        <f t="shared" si="3"/>
        <v>200</v>
      </c>
      <c r="AH26" s="91">
        <f t="shared" si="4"/>
        <v>75</v>
      </c>
      <c r="AI26" s="91">
        <f t="shared" si="5"/>
        <v>0.004165093012906386</v>
      </c>
      <c r="AJ26" s="91">
        <f t="shared" si="8"/>
        <v>0.004609433701959882</v>
      </c>
      <c r="AK26" s="91">
        <f t="shared" si="11"/>
        <v>0.004956415852520747</v>
      </c>
      <c r="AL26" s="91">
        <f t="shared" si="13"/>
        <v>0.005408545538608721</v>
      </c>
      <c r="AM26" s="91">
        <f t="shared" si="15"/>
        <v>0.005894239546099092</v>
      </c>
      <c r="AN26" s="91">
        <f t="shared" si="17"/>
        <v>0.006432020484526499</v>
      </c>
      <c r="AO26" s="91">
        <f t="shared" si="19"/>
        <v>0.007021151135678999</v>
      </c>
      <c r="AP26" s="91">
        <f t="shared" si="21"/>
        <v>0.00762282290804045</v>
      </c>
      <c r="AQ26" s="91">
        <f t="shared" si="23"/>
        <v>0.008358674541176628</v>
      </c>
      <c r="AR26" s="91">
        <f t="shared" si="25"/>
        <v>0.009098808174677717</v>
      </c>
      <c r="AS26" s="91">
        <f t="shared" si="27"/>
        <v>0.010033516757373878</v>
      </c>
      <c r="AT26" s="91">
        <f t="shared" si="29"/>
        <v>0.0113594543958557</v>
      </c>
      <c r="AU26" s="91">
        <f t="shared" si="31"/>
        <v>0.01410327805817585</v>
      </c>
      <c r="AV26" s="91">
        <f t="shared" si="33"/>
        <v>0.022229902339132246</v>
      </c>
      <c r="AW26" s="91">
        <f t="shared" si="35"/>
        <v>0.051513295280569</v>
      </c>
      <c r="AX26" s="91">
        <f>Z26-Z27</f>
        <v>0.16574878309992358</v>
      </c>
      <c r="AY26" s="91">
        <f>AA26-AA27</f>
        <v>0.6171252039676811</v>
      </c>
      <c r="AZ26" s="91">
        <f>AB26-AB27</f>
        <v>0</v>
      </c>
      <c r="BF26" s="91">
        <f t="shared" si="9"/>
        <v>1.3571356983641714</v>
      </c>
    </row>
    <row r="27" spans="1:58" ht="12.75">
      <c r="A27" s="91">
        <f>Data_File!C45</f>
        <v>19</v>
      </c>
      <c r="B27" s="91">
        <f>Data_File!D45</f>
        <v>270</v>
      </c>
      <c r="C27" s="91">
        <f>Data_File!E45</f>
        <v>53</v>
      </c>
      <c r="D27" s="91">
        <f t="shared" si="0"/>
        <v>44.87761134463375</v>
      </c>
      <c r="E27" s="91">
        <f t="shared" si="6"/>
        <v>0.10880786995103661</v>
      </c>
      <c r="G27" s="91">
        <f>Data_File!C45</f>
        <v>19</v>
      </c>
      <c r="H27" s="91">
        <f>Data_File!D45</f>
        <v>270</v>
      </c>
      <c r="I27" s="91">
        <f>Data_File!E45</f>
        <v>53</v>
      </c>
      <c r="J27" s="91">
        <f t="shared" si="1"/>
        <v>0.2</v>
      </c>
      <c r="K27" s="91">
        <f t="shared" si="7"/>
        <v>0.04593304307827404</v>
      </c>
      <c r="L27" s="91">
        <f t="shared" si="10"/>
        <v>0.050833268481146915</v>
      </c>
      <c r="M27" s="91">
        <f t="shared" si="12"/>
        <v>0.054659803728181466</v>
      </c>
      <c r="N27" s="91">
        <f t="shared" si="14"/>
        <v>0.05964585730617839</v>
      </c>
      <c r="O27" s="91">
        <f t="shared" si="16"/>
        <v>0.0650018389764999</v>
      </c>
      <c r="P27" s="91">
        <f t="shared" si="18"/>
        <v>0.07093132428409224</v>
      </c>
      <c r="Q27" s="91">
        <f t="shared" si="20"/>
        <v>0.07742337586241536</v>
      </c>
      <c r="R27" s="91">
        <f t="shared" si="22"/>
        <v>0.0840408891093618</v>
      </c>
      <c r="S27" s="91">
        <f t="shared" si="24"/>
        <v>0.09207544330788685</v>
      </c>
      <c r="T27" s="91">
        <f t="shared" si="26"/>
        <v>0.09995321704252054</v>
      </c>
      <c r="U27" s="91">
        <f t="shared" si="28"/>
        <v>0.10908250724289824</v>
      </c>
      <c r="V27" s="91">
        <f t="shared" si="30"/>
        <v>0.11904417707458156</v>
      </c>
      <c r="W27" s="91">
        <f t="shared" si="32"/>
        <v>0.13044307817913367</v>
      </c>
      <c r="X27" s="91">
        <f t="shared" si="34"/>
        <v>0.14454635623730952</v>
      </c>
      <c r="Y27" s="91">
        <f>$J$24*($I27/$I$24)^$J$4+(1-$J$24)*($I27/$I$24)^$K$4</f>
        <v>0.1666659877701739</v>
      </c>
      <c r="Z27" s="91">
        <f>$J$25*($I27/$I$25)^$J$4+(1-$J$25)*($I27/$I$25)^$K$4</f>
        <v>0.2181792830507429</v>
      </c>
      <c r="AA27" s="91">
        <f>$J$26*($I27/$I$26)^$J$4+(1-$J$26)*($I27/$I$26)^$K$4</f>
        <v>0.3828747960323189</v>
      </c>
      <c r="AB27" s="91">
        <f>$J$27*($I27/$I$27)^$J$4+(1-$J$27)*($I27/$I$27)^$K$4</f>
        <v>1</v>
      </c>
      <c r="AC27" s="91">
        <v>1</v>
      </c>
      <c r="AF27" s="91">
        <f t="shared" si="2"/>
        <v>19</v>
      </c>
      <c r="AG27" s="91">
        <f t="shared" si="3"/>
        <v>270</v>
      </c>
      <c r="AH27" s="91">
        <f t="shared" si="4"/>
        <v>53</v>
      </c>
      <c r="AI27" s="91">
        <f t="shared" si="5"/>
        <v>0.003665972411960962</v>
      </c>
      <c r="AJ27" s="91">
        <f t="shared" si="8"/>
        <v>0.004057065525937445</v>
      </c>
      <c r="AK27" s="91">
        <f t="shared" si="11"/>
        <v>0.004362466336064033</v>
      </c>
      <c r="AL27" s="91">
        <f t="shared" si="13"/>
        <v>0.004760410920382471</v>
      </c>
      <c r="AM27" s="91">
        <f t="shared" si="15"/>
        <v>0.005187884450851082</v>
      </c>
      <c r="AN27" s="91">
        <f t="shared" si="17"/>
        <v>0.005661148671636321</v>
      </c>
      <c r="AO27" s="91">
        <f t="shared" si="19"/>
        <v>0.006179387853353424</v>
      </c>
      <c r="AP27" s="91">
        <f t="shared" si="21"/>
        <v>0.006707901949114997</v>
      </c>
      <c r="AQ27" s="91">
        <f t="shared" si="23"/>
        <v>0.007350789423395426</v>
      </c>
      <c r="AR27" s="91">
        <f t="shared" si="25"/>
        <v>0.0079853204270188</v>
      </c>
      <c r="AS27" s="91">
        <f t="shared" si="27"/>
        <v>0.008737956521043366</v>
      </c>
      <c r="AT27" s="91">
        <f t="shared" si="29"/>
        <v>0.009627971105637387</v>
      </c>
      <c r="AU27" s="91">
        <f t="shared" si="31"/>
        <v>0.010921991685291607</v>
      </c>
      <c r="AV27" s="91">
        <f t="shared" si="33"/>
        <v>0.013586200005188148</v>
      </c>
      <c r="AW27" s="91">
        <f t="shared" si="35"/>
        <v>0.02148053614026829</v>
      </c>
      <c r="AX27" s="91">
        <f>Z27-Z28</f>
        <v>0.05020961029585724</v>
      </c>
      <c r="AY27" s="91">
        <f>AA27-AA28</f>
        <v>0.1614172211019836</v>
      </c>
      <c r="AZ27" s="91">
        <f>AB27-AB28</f>
        <v>0.6045544991467477</v>
      </c>
      <c r="BA27" s="91">
        <f>AC27-AC28</f>
        <v>0</v>
      </c>
      <c r="BF27" s="91">
        <f t="shared" si="9"/>
        <v>1.0880786995103662</v>
      </c>
    </row>
    <row r="28" spans="1:54" ht="12.75">
      <c r="A28" s="91">
        <f>Data_File!C46</f>
        <v>20</v>
      </c>
      <c r="B28" s="91">
        <f>Data_File!D46</f>
        <v>400</v>
      </c>
      <c r="C28" s="91">
        <f>Data_File!E46</f>
        <v>38</v>
      </c>
      <c r="D28" s="91">
        <f>C28/2</f>
        <v>19</v>
      </c>
      <c r="E28" s="91">
        <v>0</v>
      </c>
      <c r="G28" s="91">
        <f>Data_File!C46</f>
        <v>20</v>
      </c>
      <c r="H28" s="91">
        <f>Data_File!D46</f>
        <v>400</v>
      </c>
      <c r="I28" s="91">
        <f>Data_File!E46</f>
        <v>38</v>
      </c>
      <c r="J28" s="91">
        <f t="shared" si="1"/>
        <v>0.2</v>
      </c>
      <c r="K28" s="91">
        <f t="shared" si="7"/>
        <v>0.04226707066631308</v>
      </c>
      <c r="L28" s="91">
        <f t="shared" si="10"/>
        <v>0.04677620295520947</v>
      </c>
      <c r="M28" s="91">
        <f t="shared" si="12"/>
        <v>0.05029733739211743</v>
      </c>
      <c r="N28" s="91">
        <f t="shared" si="14"/>
        <v>0.05488544638579592</v>
      </c>
      <c r="O28" s="91">
        <f t="shared" si="16"/>
        <v>0.05981395452564882</v>
      </c>
      <c r="P28" s="91">
        <f t="shared" si="18"/>
        <v>0.06527017561245592</v>
      </c>
      <c r="Q28" s="91">
        <f t="shared" si="20"/>
        <v>0.07124398800906194</v>
      </c>
      <c r="R28" s="91">
        <f t="shared" si="22"/>
        <v>0.07733298716024681</v>
      </c>
      <c r="S28" s="91">
        <f t="shared" si="24"/>
        <v>0.08472465388449142</v>
      </c>
      <c r="T28" s="91">
        <f t="shared" si="26"/>
        <v>0.09196789661550174</v>
      </c>
      <c r="U28" s="91">
        <f t="shared" si="28"/>
        <v>0.10034455072185487</v>
      </c>
      <c r="V28" s="91">
        <f t="shared" si="30"/>
        <v>0.10941620596894418</v>
      </c>
      <c r="W28" s="91">
        <f t="shared" si="32"/>
        <v>0.11952108649384206</v>
      </c>
      <c r="X28" s="91">
        <f t="shared" si="34"/>
        <v>0.13096015623212137</v>
      </c>
      <c r="Y28" s="91">
        <f>$J$24*($I28/$I$24)^$J$4+(1-$J$24)*($I28/$I$24)^$K$4</f>
        <v>0.14518545162990562</v>
      </c>
      <c r="Z28" s="91">
        <f>$J$25*($I28/$I$25)^$J$4+(1-$J$25)*($I28/$I$25)^$K$4</f>
        <v>0.16796967275488567</v>
      </c>
      <c r="AA28" s="91">
        <f>$J$26*($I28/$I$26)^$J$4+(1-$J$26)*($I28/$I$26)^$K$4</f>
        <v>0.2214575749303353</v>
      </c>
      <c r="AB28" s="91">
        <f>$J$27*($I28/$I$27)^$J$4+(1-$J$27)*($I28/$I$27)^$K$4</f>
        <v>0.39544550085325225</v>
      </c>
      <c r="AC28" s="91">
        <f>$J$28*($I28/$I$28)^$J$4+(1-$J$28)*($I28/$I$28)^$K$4</f>
        <v>1</v>
      </c>
      <c r="AD28" s="91">
        <v>1</v>
      </c>
      <c r="AF28" s="91">
        <f t="shared" si="2"/>
        <v>20</v>
      </c>
      <c r="AG28" s="91">
        <f t="shared" si="3"/>
        <v>400</v>
      </c>
      <c r="AH28" s="91">
        <f t="shared" si="4"/>
        <v>38</v>
      </c>
      <c r="AI28" s="91">
        <f t="shared" si="5"/>
        <v>0.04226707066631308</v>
      </c>
      <c r="AJ28" s="91">
        <f t="shared" si="8"/>
        <v>0.04677620295520947</v>
      </c>
      <c r="AK28" s="91">
        <f t="shared" si="11"/>
        <v>0.05029733739211743</v>
      </c>
      <c r="AL28" s="91">
        <f t="shared" si="13"/>
        <v>0.05488544638579592</v>
      </c>
      <c r="AM28" s="91">
        <f t="shared" si="15"/>
        <v>0.05981395452564882</v>
      </c>
      <c r="AN28" s="91">
        <f t="shared" si="17"/>
        <v>0.06527017561245592</v>
      </c>
      <c r="AO28" s="91">
        <f t="shared" si="19"/>
        <v>0.07124398800906194</v>
      </c>
      <c r="AP28" s="91">
        <f t="shared" si="21"/>
        <v>0.07733298716024681</v>
      </c>
      <c r="AQ28" s="91">
        <f t="shared" si="23"/>
        <v>0.08472465388449142</v>
      </c>
      <c r="AR28" s="91">
        <f t="shared" si="25"/>
        <v>0.09196789661550174</v>
      </c>
      <c r="AS28" s="91">
        <f t="shared" si="27"/>
        <v>0.10034455072185487</v>
      </c>
      <c r="AT28" s="91">
        <f t="shared" si="29"/>
        <v>0.10941620596894418</v>
      </c>
      <c r="AU28" s="91">
        <f t="shared" si="31"/>
        <v>0.11952108649384206</v>
      </c>
      <c r="AV28" s="91">
        <f t="shared" si="33"/>
        <v>0.13096015623212137</v>
      </c>
      <c r="AW28" s="91">
        <f t="shared" si="35"/>
        <v>0.14518545162990562</v>
      </c>
      <c r="AX28" s="91">
        <f>Z28-Z29</f>
        <v>0.16796967275488567</v>
      </c>
      <c r="AY28" s="91">
        <f>AA28-AA29</f>
        <v>0.2214575749303353</v>
      </c>
      <c r="AZ28" s="91">
        <f>AB28-AB29</f>
        <v>0.39544550085325225</v>
      </c>
      <c r="BA28" s="91">
        <f>AC28-AC29</f>
        <v>1</v>
      </c>
      <c r="BB28" s="91">
        <v>0</v>
      </c>
    </row>
    <row r="31" spans="2:3" ht="12.75">
      <c r="B31" s="91" t="s">
        <v>11</v>
      </c>
      <c r="C31" s="92">
        <f>Data_File!Q19</f>
        <v>30.067810271416306</v>
      </c>
    </row>
    <row r="34" ht="12.75">
      <c r="B34" s="91" t="s">
        <v>12</v>
      </c>
    </row>
    <row r="35" spans="2:21" ht="12.75">
      <c r="B35" s="93">
        <v>1</v>
      </c>
      <c r="C35" s="93">
        <f aca="true" t="shared" si="36" ref="C35:U35">B35+1</f>
        <v>2</v>
      </c>
      <c r="D35" s="93">
        <f t="shared" si="36"/>
        <v>3</v>
      </c>
      <c r="E35" s="93">
        <f t="shared" si="36"/>
        <v>4</v>
      </c>
      <c r="F35" s="93">
        <f t="shared" si="36"/>
        <v>5</v>
      </c>
      <c r="G35" s="93">
        <f t="shared" si="36"/>
        <v>6</v>
      </c>
      <c r="H35" s="93">
        <f t="shared" si="36"/>
        <v>7</v>
      </c>
      <c r="I35" s="93">
        <f t="shared" si="36"/>
        <v>8</v>
      </c>
      <c r="J35" s="93">
        <f t="shared" si="36"/>
        <v>9</v>
      </c>
      <c r="K35" s="93">
        <f t="shared" si="36"/>
        <v>10</v>
      </c>
      <c r="L35" s="93">
        <f t="shared" si="36"/>
        <v>11</v>
      </c>
      <c r="M35" s="93">
        <f t="shared" si="36"/>
        <v>12</v>
      </c>
      <c r="N35" s="93">
        <f t="shared" si="36"/>
        <v>13</v>
      </c>
      <c r="O35" s="93">
        <f t="shared" si="36"/>
        <v>14</v>
      </c>
      <c r="P35" s="93">
        <f t="shared" si="36"/>
        <v>15</v>
      </c>
      <c r="Q35" s="93">
        <f t="shared" si="36"/>
        <v>16</v>
      </c>
      <c r="R35" s="93">
        <f t="shared" si="36"/>
        <v>17</v>
      </c>
      <c r="S35" s="93">
        <f t="shared" si="36"/>
        <v>18</v>
      </c>
      <c r="T35" s="93">
        <f t="shared" si="36"/>
        <v>19</v>
      </c>
      <c r="U35" s="93">
        <f t="shared" si="36"/>
        <v>20</v>
      </c>
    </row>
    <row r="36" spans="1:21" ht="12.75">
      <c r="A36" s="93">
        <v>1</v>
      </c>
      <c r="B36" s="91">
        <f>EXP(-Model!$E9*$C$31)</f>
        <v>0.00022259809598872596</v>
      </c>
      <c r="C36" s="91">
        <v>0</v>
      </c>
      <c r="D36" s="91">
        <v>0</v>
      </c>
      <c r="E36" s="91">
        <v>0</v>
      </c>
      <c r="F36" s="91">
        <v>0</v>
      </c>
      <c r="G36" s="91">
        <v>0</v>
      </c>
      <c r="H36" s="91">
        <v>0</v>
      </c>
      <c r="I36" s="91">
        <v>0</v>
      </c>
      <c r="J36" s="91">
        <v>0</v>
      </c>
      <c r="K36" s="91">
        <v>0</v>
      </c>
      <c r="L36" s="91">
        <v>0</v>
      </c>
      <c r="M36" s="91">
        <v>0</v>
      </c>
      <c r="N36" s="91">
        <v>0</v>
      </c>
      <c r="O36" s="91">
        <v>0</v>
      </c>
      <c r="P36" s="91">
        <v>0</v>
      </c>
      <c r="Q36" s="91">
        <v>0</v>
      </c>
      <c r="R36" s="91">
        <v>0</v>
      </c>
      <c r="S36" s="91">
        <v>0</v>
      </c>
      <c r="T36" s="91">
        <v>0</v>
      </c>
      <c r="U36" s="91">
        <v>0</v>
      </c>
    </row>
    <row r="37" spans="1:21" ht="12.75">
      <c r="A37" s="93">
        <f aca="true" t="shared" si="37" ref="A37:A55">A36+1</f>
        <v>2</v>
      </c>
      <c r="B37" s="91">
        <v>0</v>
      </c>
      <c r="C37" s="91">
        <f>EXP(-Model!$E10*$C$31)</f>
        <v>3.0013433016458423E-07</v>
      </c>
      <c r="D37" s="91">
        <v>0</v>
      </c>
      <c r="E37" s="91">
        <v>0</v>
      </c>
      <c r="F37" s="91">
        <v>0</v>
      </c>
      <c r="G37" s="91">
        <v>0</v>
      </c>
      <c r="H37" s="91">
        <v>0</v>
      </c>
      <c r="I37" s="91">
        <v>0</v>
      </c>
      <c r="J37" s="91">
        <v>0</v>
      </c>
      <c r="K37" s="91">
        <v>0</v>
      </c>
      <c r="L37" s="91">
        <v>0</v>
      </c>
      <c r="M37" s="91">
        <v>0</v>
      </c>
      <c r="N37" s="91">
        <v>0</v>
      </c>
      <c r="O37" s="91">
        <v>0</v>
      </c>
      <c r="P37" s="91">
        <v>0</v>
      </c>
      <c r="Q37" s="91">
        <v>0</v>
      </c>
      <c r="R37" s="91">
        <v>0</v>
      </c>
      <c r="S37" s="91">
        <v>0</v>
      </c>
      <c r="T37" s="91">
        <v>0</v>
      </c>
      <c r="U37" s="91">
        <v>0</v>
      </c>
    </row>
    <row r="38" spans="1:21" ht="12.75">
      <c r="A38" s="93">
        <f t="shared" si="37"/>
        <v>3</v>
      </c>
      <c r="B38" s="91">
        <v>0</v>
      </c>
      <c r="C38" s="91">
        <v>0</v>
      </c>
      <c r="D38" s="91">
        <f>EXP(-Model!$E11*$C$31)</f>
        <v>1.3511929035905624E-11</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91">
        <v>0</v>
      </c>
    </row>
    <row r="39" spans="1:21" ht="12.75">
      <c r="A39" s="93">
        <f t="shared" si="37"/>
        <v>4</v>
      </c>
      <c r="B39" s="91">
        <v>0</v>
      </c>
      <c r="C39" s="91">
        <v>0</v>
      </c>
      <c r="D39" s="91">
        <v>0</v>
      </c>
      <c r="E39" s="91">
        <f>EXP(-Model!$E12*$C$31)</f>
        <v>2.770965543751589E-16</v>
      </c>
      <c r="F39" s="91">
        <v>0</v>
      </c>
      <c r="G39" s="91">
        <v>0</v>
      </c>
      <c r="H39" s="91">
        <v>0</v>
      </c>
      <c r="I39" s="91">
        <v>0</v>
      </c>
      <c r="J39" s="91">
        <v>0</v>
      </c>
      <c r="K39" s="91">
        <v>0</v>
      </c>
      <c r="L39" s="91">
        <v>0</v>
      </c>
      <c r="M39" s="91">
        <v>0</v>
      </c>
      <c r="N39" s="91">
        <v>0</v>
      </c>
      <c r="O39" s="91">
        <v>0</v>
      </c>
      <c r="P39" s="91">
        <v>0</v>
      </c>
      <c r="Q39" s="91">
        <v>0</v>
      </c>
      <c r="R39" s="91">
        <v>0</v>
      </c>
      <c r="S39" s="91">
        <v>0</v>
      </c>
      <c r="T39" s="91">
        <v>0</v>
      </c>
      <c r="U39" s="91">
        <v>0</v>
      </c>
    </row>
    <row r="40" spans="1:21" ht="12.75">
      <c r="A40" s="93">
        <f t="shared" si="37"/>
        <v>5</v>
      </c>
      <c r="B40" s="91">
        <v>0</v>
      </c>
      <c r="C40" s="91">
        <v>0</v>
      </c>
      <c r="D40" s="91">
        <v>0</v>
      </c>
      <c r="E40" s="91">
        <v>0</v>
      </c>
      <c r="F40" s="91">
        <f>EXP(-Model!$E13*$C$31)</f>
        <v>3.733389309044896E-20</v>
      </c>
      <c r="G40" s="91">
        <v>0</v>
      </c>
      <c r="H40" s="91">
        <v>0</v>
      </c>
      <c r="I40" s="91">
        <v>0</v>
      </c>
      <c r="J40" s="91">
        <v>0</v>
      </c>
      <c r="K40" s="91">
        <v>0</v>
      </c>
      <c r="L40" s="91">
        <v>0</v>
      </c>
      <c r="M40" s="91">
        <v>0</v>
      </c>
      <c r="N40" s="91">
        <v>0</v>
      </c>
      <c r="O40" s="91">
        <v>0</v>
      </c>
      <c r="P40" s="91">
        <v>0</v>
      </c>
      <c r="Q40" s="91">
        <v>0</v>
      </c>
      <c r="R40" s="91">
        <v>0</v>
      </c>
      <c r="S40" s="91">
        <v>0</v>
      </c>
      <c r="T40" s="91">
        <v>0</v>
      </c>
      <c r="U40" s="91">
        <v>0</v>
      </c>
    </row>
    <row r="41" spans="1:21" ht="12.75">
      <c r="A41" s="93">
        <f t="shared" si="37"/>
        <v>6</v>
      </c>
      <c r="B41" s="91">
        <v>0</v>
      </c>
      <c r="C41" s="91">
        <v>0</v>
      </c>
      <c r="D41" s="91">
        <v>0</v>
      </c>
      <c r="E41" s="91">
        <v>0</v>
      </c>
      <c r="F41" s="91">
        <v>0</v>
      </c>
      <c r="G41" s="91">
        <f>EXP(-Model!$E14*$C$31)</f>
        <v>4.637055321070681E-21</v>
      </c>
      <c r="H41" s="91">
        <v>0</v>
      </c>
      <c r="I41" s="91">
        <v>0</v>
      </c>
      <c r="J41" s="91">
        <v>0</v>
      </c>
      <c r="K41" s="91">
        <v>0</v>
      </c>
      <c r="L41" s="91">
        <v>0</v>
      </c>
      <c r="M41" s="91">
        <v>0</v>
      </c>
      <c r="N41" s="91">
        <v>0</v>
      </c>
      <c r="O41" s="91">
        <v>0</v>
      </c>
      <c r="P41" s="91">
        <v>0</v>
      </c>
      <c r="Q41" s="91">
        <v>0</v>
      </c>
      <c r="R41" s="91">
        <v>0</v>
      </c>
      <c r="S41" s="91">
        <v>0</v>
      </c>
      <c r="T41" s="91">
        <v>0</v>
      </c>
      <c r="U41" s="91">
        <v>0</v>
      </c>
    </row>
    <row r="42" spans="1:21" ht="12.75">
      <c r="A42" s="93">
        <f t="shared" si="37"/>
        <v>7</v>
      </c>
      <c r="B42" s="91">
        <v>0</v>
      </c>
      <c r="C42" s="91">
        <v>0</v>
      </c>
      <c r="D42" s="91">
        <v>0</v>
      </c>
      <c r="E42" s="91">
        <v>0</v>
      </c>
      <c r="F42" s="91">
        <v>0</v>
      </c>
      <c r="G42" s="91">
        <v>0</v>
      </c>
      <c r="H42" s="91">
        <f>EXP(-Model!$E15*$C$31)</f>
        <v>2.225678741389146E-19</v>
      </c>
      <c r="I42" s="91">
        <v>0</v>
      </c>
      <c r="J42" s="91">
        <v>0</v>
      </c>
      <c r="K42" s="91">
        <v>0</v>
      </c>
      <c r="L42" s="91">
        <v>0</v>
      </c>
      <c r="M42" s="91">
        <v>0</v>
      </c>
      <c r="N42" s="91">
        <v>0</v>
      </c>
      <c r="O42" s="91">
        <v>0</v>
      </c>
      <c r="P42" s="91">
        <v>0</v>
      </c>
      <c r="Q42" s="91">
        <v>0</v>
      </c>
      <c r="R42" s="91">
        <v>0</v>
      </c>
      <c r="S42" s="91">
        <v>0</v>
      </c>
      <c r="T42" s="91">
        <v>0</v>
      </c>
      <c r="U42" s="91">
        <v>0</v>
      </c>
    </row>
    <row r="43" spans="1:21" ht="12.75">
      <c r="A43" s="93">
        <f t="shared" si="37"/>
        <v>8</v>
      </c>
      <c r="B43" s="91">
        <v>0</v>
      </c>
      <c r="C43" s="91">
        <v>0</v>
      </c>
      <c r="D43" s="91">
        <v>0</v>
      </c>
      <c r="E43" s="91">
        <v>0</v>
      </c>
      <c r="F43" s="91">
        <v>0</v>
      </c>
      <c r="G43" s="91">
        <v>0</v>
      </c>
      <c r="H43" s="91">
        <v>0</v>
      </c>
      <c r="I43" s="91">
        <f>EXP(-Model!$E16*$C$31)</f>
        <v>1.120514380132854E-16</v>
      </c>
      <c r="J43" s="91">
        <v>0</v>
      </c>
      <c r="K43" s="91">
        <v>0</v>
      </c>
      <c r="L43" s="91">
        <v>0</v>
      </c>
      <c r="M43" s="91">
        <v>0</v>
      </c>
      <c r="N43" s="91">
        <v>0</v>
      </c>
      <c r="O43" s="91">
        <v>0</v>
      </c>
      <c r="P43" s="91">
        <v>0</v>
      </c>
      <c r="Q43" s="91">
        <v>0</v>
      </c>
      <c r="R43" s="91">
        <v>0</v>
      </c>
      <c r="S43" s="91">
        <v>0</v>
      </c>
      <c r="T43" s="91">
        <v>0</v>
      </c>
      <c r="U43" s="91">
        <v>0</v>
      </c>
    </row>
    <row r="44" spans="1:21" ht="12.75">
      <c r="A44" s="93">
        <f t="shared" si="37"/>
        <v>9</v>
      </c>
      <c r="B44" s="91">
        <v>0</v>
      </c>
      <c r="C44" s="91">
        <v>0</v>
      </c>
      <c r="D44" s="91">
        <v>0</v>
      </c>
      <c r="E44" s="91">
        <v>0</v>
      </c>
      <c r="F44" s="91">
        <v>0</v>
      </c>
      <c r="G44" s="91">
        <v>0</v>
      </c>
      <c r="H44" s="91">
        <v>0</v>
      </c>
      <c r="I44" s="91">
        <v>0</v>
      </c>
      <c r="J44" s="91">
        <f>EXP(-Model!$E17*$C$31)</f>
        <v>7.774144373300032E-14</v>
      </c>
      <c r="K44" s="91">
        <v>0</v>
      </c>
      <c r="L44" s="91">
        <v>0</v>
      </c>
      <c r="M44" s="91">
        <v>0</v>
      </c>
      <c r="N44" s="91">
        <v>0</v>
      </c>
      <c r="O44" s="91">
        <v>0</v>
      </c>
      <c r="P44" s="91">
        <v>0</v>
      </c>
      <c r="Q44" s="91">
        <v>0</v>
      </c>
      <c r="R44" s="91">
        <v>0</v>
      </c>
      <c r="S44" s="91">
        <v>0</v>
      </c>
      <c r="T44" s="91">
        <v>0</v>
      </c>
      <c r="U44" s="91">
        <v>0</v>
      </c>
    </row>
    <row r="45" spans="1:21" ht="12.75">
      <c r="A45" s="93">
        <f t="shared" si="37"/>
        <v>10</v>
      </c>
      <c r="B45" s="91">
        <v>0</v>
      </c>
      <c r="C45" s="91">
        <v>0</v>
      </c>
      <c r="D45" s="91">
        <v>0</v>
      </c>
      <c r="E45" s="91">
        <v>0</v>
      </c>
      <c r="F45" s="91">
        <v>0</v>
      </c>
      <c r="G45" s="91">
        <v>0</v>
      </c>
      <c r="H45" s="91">
        <v>0</v>
      </c>
      <c r="I45" s="91">
        <v>0</v>
      </c>
      <c r="J45" s="91">
        <v>0</v>
      </c>
      <c r="K45" s="91">
        <f>EXP(-Model!$E18*$C$31)</f>
        <v>2.530806429632393E-11</v>
      </c>
      <c r="L45" s="91">
        <v>0</v>
      </c>
      <c r="M45" s="91">
        <v>0</v>
      </c>
      <c r="N45" s="91">
        <v>0</v>
      </c>
      <c r="O45" s="91">
        <v>0</v>
      </c>
      <c r="P45" s="91">
        <v>0</v>
      </c>
      <c r="Q45" s="91">
        <v>0</v>
      </c>
      <c r="R45" s="91">
        <v>0</v>
      </c>
      <c r="S45" s="91">
        <v>0</v>
      </c>
      <c r="T45" s="91">
        <v>0</v>
      </c>
      <c r="U45" s="91">
        <v>0</v>
      </c>
    </row>
    <row r="46" spans="1:21" ht="12.75">
      <c r="A46" s="93">
        <f t="shared" si="37"/>
        <v>11</v>
      </c>
      <c r="B46" s="91">
        <v>0</v>
      </c>
      <c r="C46" s="91">
        <v>0</v>
      </c>
      <c r="D46" s="91">
        <v>0</v>
      </c>
      <c r="E46" s="91">
        <v>0</v>
      </c>
      <c r="F46" s="91">
        <v>0</v>
      </c>
      <c r="G46" s="91">
        <v>0</v>
      </c>
      <c r="H46" s="91">
        <v>0</v>
      </c>
      <c r="I46" s="91">
        <v>0</v>
      </c>
      <c r="J46" s="91">
        <v>0</v>
      </c>
      <c r="K46" s="91">
        <v>0</v>
      </c>
      <c r="L46" s="91">
        <f>EXP(-Model!$E19*$C$31)</f>
        <v>2.81711613445493E-09</v>
      </c>
      <c r="M46" s="91">
        <v>0</v>
      </c>
      <c r="N46" s="91">
        <v>0</v>
      </c>
      <c r="O46" s="91">
        <v>0</v>
      </c>
      <c r="P46" s="91">
        <v>0</v>
      </c>
      <c r="Q46" s="91">
        <v>0</v>
      </c>
      <c r="R46" s="91">
        <v>0</v>
      </c>
      <c r="S46" s="91">
        <v>0</v>
      </c>
      <c r="T46" s="91">
        <v>0</v>
      </c>
      <c r="U46" s="91">
        <v>0</v>
      </c>
    </row>
    <row r="47" spans="1:21" ht="12.75">
      <c r="A47" s="93">
        <f t="shared" si="37"/>
        <v>12</v>
      </c>
      <c r="B47" s="91">
        <v>0</v>
      </c>
      <c r="C47" s="91">
        <v>0</v>
      </c>
      <c r="D47" s="91">
        <v>0</v>
      </c>
      <c r="E47" s="91">
        <v>0</v>
      </c>
      <c r="F47" s="91">
        <v>0</v>
      </c>
      <c r="G47" s="91">
        <v>0</v>
      </c>
      <c r="H47" s="91">
        <v>0</v>
      </c>
      <c r="I47" s="91">
        <v>0</v>
      </c>
      <c r="J47" s="91">
        <v>0</v>
      </c>
      <c r="K47" s="91">
        <v>0</v>
      </c>
      <c r="L47" s="91">
        <v>0</v>
      </c>
      <c r="M47" s="91">
        <f>EXP(-Model!$E20*$C$31)</f>
        <v>1.4413998785317976E-07</v>
      </c>
      <c r="N47" s="91">
        <v>0</v>
      </c>
      <c r="O47" s="91">
        <v>0</v>
      </c>
      <c r="P47" s="91">
        <v>0</v>
      </c>
      <c r="Q47" s="91">
        <v>0</v>
      </c>
      <c r="R47" s="91">
        <v>0</v>
      </c>
      <c r="S47" s="91">
        <v>0</v>
      </c>
      <c r="T47" s="91">
        <v>0</v>
      </c>
      <c r="U47" s="91">
        <v>0</v>
      </c>
    </row>
    <row r="48" spans="1:21" ht="12.75">
      <c r="A48" s="93">
        <f t="shared" si="37"/>
        <v>13</v>
      </c>
      <c r="B48" s="91">
        <v>0</v>
      </c>
      <c r="C48" s="91">
        <v>0</v>
      </c>
      <c r="D48" s="91">
        <v>0</v>
      </c>
      <c r="E48" s="91">
        <v>0</v>
      </c>
      <c r="F48" s="91">
        <v>0</v>
      </c>
      <c r="G48" s="91">
        <v>0</v>
      </c>
      <c r="H48" s="91">
        <v>0</v>
      </c>
      <c r="I48" s="91">
        <v>0</v>
      </c>
      <c r="J48" s="91">
        <v>0</v>
      </c>
      <c r="K48" s="91">
        <v>0</v>
      </c>
      <c r="L48" s="91">
        <v>0</v>
      </c>
      <c r="M48" s="91">
        <v>0</v>
      </c>
      <c r="N48" s="91">
        <f>EXP(-Model!$E21*$C$31)</f>
        <v>3.415173632831407E-06</v>
      </c>
      <c r="O48" s="91">
        <v>0</v>
      </c>
      <c r="P48" s="91">
        <v>0</v>
      </c>
      <c r="Q48" s="91">
        <v>0</v>
      </c>
      <c r="R48" s="91">
        <v>0</v>
      </c>
      <c r="S48" s="91">
        <v>0</v>
      </c>
      <c r="T48" s="91">
        <v>0</v>
      </c>
      <c r="U48" s="91">
        <v>0</v>
      </c>
    </row>
    <row r="49" spans="1:21" ht="12.75">
      <c r="A49" s="93">
        <f t="shared" si="37"/>
        <v>14</v>
      </c>
      <c r="B49" s="91">
        <v>0</v>
      </c>
      <c r="C49" s="91">
        <v>0</v>
      </c>
      <c r="D49" s="91">
        <v>0</v>
      </c>
      <c r="E49" s="91">
        <v>0</v>
      </c>
      <c r="F49" s="91">
        <v>0</v>
      </c>
      <c r="G49" s="91">
        <v>0</v>
      </c>
      <c r="H49" s="91">
        <v>0</v>
      </c>
      <c r="I49" s="91">
        <v>0</v>
      </c>
      <c r="J49" s="91">
        <v>0</v>
      </c>
      <c r="K49" s="91">
        <v>0</v>
      </c>
      <c r="L49" s="91">
        <v>0</v>
      </c>
      <c r="M49" s="91">
        <v>0</v>
      </c>
      <c r="N49" s="91">
        <v>0</v>
      </c>
      <c r="O49" s="91">
        <f>EXP(-Model!$E22*$C$31)</f>
        <v>4.3411332947614854E-05</v>
      </c>
      <c r="P49" s="91">
        <v>0</v>
      </c>
      <c r="Q49" s="91">
        <v>0</v>
      </c>
      <c r="R49" s="91">
        <v>0</v>
      </c>
      <c r="S49" s="91">
        <v>0</v>
      </c>
      <c r="T49" s="91">
        <v>0</v>
      </c>
      <c r="U49" s="91">
        <v>0</v>
      </c>
    </row>
    <row r="50" spans="1:21" ht="12.75">
      <c r="A50" s="93">
        <f t="shared" si="37"/>
        <v>15</v>
      </c>
      <c r="B50" s="91">
        <v>0</v>
      </c>
      <c r="C50" s="91">
        <v>0</v>
      </c>
      <c r="D50" s="91">
        <v>0</v>
      </c>
      <c r="E50" s="91">
        <v>0</v>
      </c>
      <c r="F50" s="91">
        <v>0</v>
      </c>
      <c r="G50" s="91">
        <v>0</v>
      </c>
      <c r="H50" s="91">
        <v>0</v>
      </c>
      <c r="I50" s="91">
        <v>0</v>
      </c>
      <c r="J50" s="91">
        <v>0</v>
      </c>
      <c r="K50" s="91">
        <v>0</v>
      </c>
      <c r="L50" s="91">
        <v>0</v>
      </c>
      <c r="M50" s="91">
        <v>0</v>
      </c>
      <c r="N50" s="91">
        <v>0</v>
      </c>
      <c r="O50" s="91">
        <v>0</v>
      </c>
      <c r="P50" s="91">
        <f>EXP(-Model!$E23*$C$31)</f>
        <v>0.0003287869307400495</v>
      </c>
      <c r="Q50" s="91">
        <v>0</v>
      </c>
      <c r="R50" s="91">
        <v>0</v>
      </c>
      <c r="S50" s="91">
        <v>0</v>
      </c>
      <c r="T50" s="91">
        <v>0</v>
      </c>
      <c r="U50" s="91">
        <v>0</v>
      </c>
    </row>
    <row r="51" spans="1:21" ht="12.75">
      <c r="A51" s="93">
        <f t="shared" si="37"/>
        <v>16</v>
      </c>
      <c r="B51" s="91">
        <v>0</v>
      </c>
      <c r="C51" s="91">
        <v>0</v>
      </c>
      <c r="D51" s="91">
        <v>0</v>
      </c>
      <c r="E51" s="91">
        <v>0</v>
      </c>
      <c r="F51" s="91">
        <v>0</v>
      </c>
      <c r="G51" s="91">
        <v>0</v>
      </c>
      <c r="H51" s="91">
        <v>0</v>
      </c>
      <c r="I51" s="91">
        <v>0</v>
      </c>
      <c r="J51" s="91">
        <v>0</v>
      </c>
      <c r="K51" s="91">
        <v>0</v>
      </c>
      <c r="L51" s="91">
        <v>0</v>
      </c>
      <c r="M51" s="91">
        <v>0</v>
      </c>
      <c r="N51" s="91">
        <v>0</v>
      </c>
      <c r="O51" s="91">
        <v>0</v>
      </c>
      <c r="P51" s="91">
        <v>0</v>
      </c>
      <c r="Q51" s="91">
        <f>EXP(-Model!$E24*$C$31)</f>
        <v>0.0016567617824464478</v>
      </c>
      <c r="R51" s="91">
        <v>0</v>
      </c>
      <c r="S51" s="91">
        <v>0</v>
      </c>
      <c r="T51" s="91">
        <v>0</v>
      </c>
      <c r="U51" s="91">
        <v>0</v>
      </c>
    </row>
    <row r="52" spans="1:21" ht="12.75">
      <c r="A52" s="93">
        <f t="shared" si="37"/>
        <v>17</v>
      </c>
      <c r="B52" s="91">
        <v>0</v>
      </c>
      <c r="C52" s="91">
        <v>0</v>
      </c>
      <c r="D52" s="91">
        <v>0</v>
      </c>
      <c r="E52" s="91">
        <v>0</v>
      </c>
      <c r="F52" s="91">
        <v>0</v>
      </c>
      <c r="G52" s="91">
        <v>0</v>
      </c>
      <c r="H52" s="91">
        <v>0</v>
      </c>
      <c r="I52" s="91">
        <v>0</v>
      </c>
      <c r="J52" s="91">
        <v>0</v>
      </c>
      <c r="K52" s="91">
        <v>0</v>
      </c>
      <c r="L52" s="91">
        <v>0</v>
      </c>
      <c r="M52" s="91">
        <v>0</v>
      </c>
      <c r="N52" s="91">
        <v>0</v>
      </c>
      <c r="O52" s="91">
        <v>0</v>
      </c>
      <c r="P52" s="91">
        <v>0</v>
      </c>
      <c r="Q52" s="91">
        <v>0</v>
      </c>
      <c r="R52" s="91">
        <f>EXP(-Model!$E25*$C$31)</f>
        <v>0.0060266114074221016</v>
      </c>
      <c r="S52" s="91">
        <v>0</v>
      </c>
      <c r="T52" s="91">
        <v>0</v>
      </c>
      <c r="U52" s="91">
        <v>0</v>
      </c>
    </row>
    <row r="53" spans="1:21" ht="12.75">
      <c r="A53" s="93">
        <f t="shared" si="37"/>
        <v>18</v>
      </c>
      <c r="B53" s="91">
        <v>0</v>
      </c>
      <c r="C53" s="91">
        <v>0</v>
      </c>
      <c r="D53" s="91">
        <v>0</v>
      </c>
      <c r="E53" s="91">
        <v>0</v>
      </c>
      <c r="F53" s="91">
        <v>0</v>
      </c>
      <c r="G53" s="91">
        <v>0</v>
      </c>
      <c r="H53" s="91">
        <v>0</v>
      </c>
      <c r="I53" s="91">
        <v>0</v>
      </c>
      <c r="J53" s="91">
        <v>0</v>
      </c>
      <c r="K53" s="91">
        <v>0</v>
      </c>
      <c r="L53" s="91">
        <v>0</v>
      </c>
      <c r="M53" s="91">
        <v>0</v>
      </c>
      <c r="N53" s="91">
        <v>0</v>
      </c>
      <c r="O53" s="91">
        <v>0</v>
      </c>
      <c r="P53" s="91">
        <v>0</v>
      </c>
      <c r="Q53" s="91">
        <v>0</v>
      </c>
      <c r="R53" s="91">
        <v>0</v>
      </c>
      <c r="S53" s="91">
        <f>EXP(-Model!$E26*$C$31)</f>
        <v>0.01689715745552321</v>
      </c>
      <c r="T53" s="91">
        <v>0</v>
      </c>
      <c r="U53" s="91">
        <v>0</v>
      </c>
    </row>
    <row r="54" spans="1:21" ht="12.75">
      <c r="A54" s="93">
        <f t="shared" si="37"/>
        <v>19</v>
      </c>
      <c r="B54" s="91">
        <v>0</v>
      </c>
      <c r="C54" s="91">
        <v>0</v>
      </c>
      <c r="D54" s="91">
        <v>0</v>
      </c>
      <c r="E54" s="91">
        <v>0</v>
      </c>
      <c r="F54" s="91">
        <v>0</v>
      </c>
      <c r="G54" s="91">
        <v>0</v>
      </c>
      <c r="H54" s="91">
        <v>0</v>
      </c>
      <c r="I54" s="91">
        <v>0</v>
      </c>
      <c r="J54" s="91">
        <v>0</v>
      </c>
      <c r="K54" s="91">
        <v>0</v>
      </c>
      <c r="L54" s="91">
        <v>0</v>
      </c>
      <c r="M54" s="91">
        <v>0</v>
      </c>
      <c r="N54" s="91">
        <v>0</v>
      </c>
      <c r="O54" s="91">
        <v>0</v>
      </c>
      <c r="P54" s="91">
        <v>0</v>
      </c>
      <c r="Q54" s="91">
        <v>0</v>
      </c>
      <c r="R54" s="91">
        <v>0</v>
      </c>
      <c r="S54" s="91">
        <v>0</v>
      </c>
      <c r="T54" s="91">
        <f>EXP(-Model!$E27*$C$31)</f>
        <v>0.03794511939039475</v>
      </c>
      <c r="U54" s="91">
        <v>0</v>
      </c>
    </row>
    <row r="55" spans="1:21" ht="12.75">
      <c r="A55" s="93">
        <f t="shared" si="37"/>
        <v>20</v>
      </c>
      <c r="B55" s="91">
        <v>0</v>
      </c>
      <c r="C55" s="91">
        <v>0</v>
      </c>
      <c r="D55" s="91">
        <v>0</v>
      </c>
      <c r="E55" s="91">
        <v>0</v>
      </c>
      <c r="F55" s="91">
        <v>0</v>
      </c>
      <c r="G55" s="91">
        <v>0</v>
      </c>
      <c r="H55" s="91">
        <v>0</v>
      </c>
      <c r="I55" s="91">
        <v>0</v>
      </c>
      <c r="J55" s="91">
        <v>0</v>
      </c>
      <c r="K55" s="91">
        <v>0</v>
      </c>
      <c r="L55" s="91">
        <v>0</v>
      </c>
      <c r="M55" s="91">
        <v>0</v>
      </c>
      <c r="N55" s="91">
        <v>0</v>
      </c>
      <c r="O55" s="91">
        <v>0</v>
      </c>
      <c r="P55" s="91">
        <v>0</v>
      </c>
      <c r="Q55" s="91">
        <v>0</v>
      </c>
      <c r="R55" s="91">
        <v>0</v>
      </c>
      <c r="S55" s="91">
        <v>0</v>
      </c>
      <c r="T55" s="91">
        <v>0</v>
      </c>
      <c r="U55" s="91">
        <f>EXP(-Model!$E28*$C$31)</f>
        <v>1</v>
      </c>
    </row>
    <row r="58" ht="12.75">
      <c r="B58" s="91" t="s">
        <v>13</v>
      </c>
    </row>
    <row r="59" spans="2:24" ht="12.75">
      <c r="B59" s="93">
        <v>1</v>
      </c>
      <c r="C59" s="93">
        <f aca="true" t="shared" si="38" ref="C59:U59">B59+1</f>
        <v>2</v>
      </c>
      <c r="D59" s="93">
        <f t="shared" si="38"/>
        <v>3</v>
      </c>
      <c r="E59" s="93">
        <f t="shared" si="38"/>
        <v>4</v>
      </c>
      <c r="F59" s="93">
        <f t="shared" si="38"/>
        <v>5</v>
      </c>
      <c r="G59" s="93">
        <f t="shared" si="38"/>
        <v>6</v>
      </c>
      <c r="H59" s="93">
        <f t="shared" si="38"/>
        <v>7</v>
      </c>
      <c r="I59" s="93">
        <f t="shared" si="38"/>
        <v>8</v>
      </c>
      <c r="J59" s="93">
        <f t="shared" si="38"/>
        <v>9</v>
      </c>
      <c r="K59" s="93">
        <f t="shared" si="38"/>
        <v>10</v>
      </c>
      <c r="L59" s="93">
        <f t="shared" si="38"/>
        <v>11</v>
      </c>
      <c r="M59" s="93">
        <f t="shared" si="38"/>
        <v>12</v>
      </c>
      <c r="N59" s="93">
        <f t="shared" si="38"/>
        <v>13</v>
      </c>
      <c r="O59" s="93">
        <f t="shared" si="38"/>
        <v>14</v>
      </c>
      <c r="P59" s="93">
        <f t="shared" si="38"/>
        <v>15</v>
      </c>
      <c r="Q59" s="93">
        <f t="shared" si="38"/>
        <v>16</v>
      </c>
      <c r="R59" s="93">
        <f t="shared" si="38"/>
        <v>17</v>
      </c>
      <c r="S59" s="93">
        <f t="shared" si="38"/>
        <v>18</v>
      </c>
      <c r="T59" s="93">
        <f t="shared" si="38"/>
        <v>19</v>
      </c>
      <c r="U59" s="93">
        <f t="shared" si="38"/>
        <v>20</v>
      </c>
      <c r="X59" s="93" t="s">
        <v>7</v>
      </c>
    </row>
    <row r="60" spans="1:24" ht="12.75">
      <c r="A60" s="93">
        <v>1</v>
      </c>
      <c r="B60" s="91">
        <v>1</v>
      </c>
      <c r="C60" s="91">
        <v>0</v>
      </c>
      <c r="D60" s="91">
        <v>0</v>
      </c>
      <c r="E60" s="91">
        <v>0</v>
      </c>
      <c r="F60" s="91">
        <v>0</v>
      </c>
      <c r="G60" s="91">
        <v>0</v>
      </c>
      <c r="H60" s="91">
        <v>0</v>
      </c>
      <c r="I60" s="91">
        <v>0</v>
      </c>
      <c r="J60" s="91">
        <v>0</v>
      </c>
      <c r="K60" s="91">
        <v>0</v>
      </c>
      <c r="L60" s="91">
        <v>0</v>
      </c>
      <c r="M60" s="91">
        <v>0</v>
      </c>
      <c r="N60" s="91">
        <v>0</v>
      </c>
      <c r="O60" s="91">
        <v>0</v>
      </c>
      <c r="P60" s="91">
        <v>0</v>
      </c>
      <c r="Q60" s="91">
        <v>0</v>
      </c>
      <c r="R60" s="91">
        <v>0</v>
      </c>
      <c r="S60" s="91">
        <v>0</v>
      </c>
      <c r="T60" s="91">
        <v>0</v>
      </c>
      <c r="U60" s="91">
        <v>0</v>
      </c>
      <c r="W60" s="93">
        <v>1</v>
      </c>
      <c r="X60" s="91">
        <f>Model!$E9</f>
        <v>0.27970585808385934</v>
      </c>
    </row>
    <row r="61" spans="1:24" ht="12.75">
      <c r="A61" s="93">
        <f aca="true" t="shared" si="39" ref="A61:A79">A60+1</f>
        <v>2</v>
      </c>
      <c r="B61" s="91">
        <f>(INDEX(BIJ,2,1)*INDEX(SIE,1)*INDEX(TIJ,1,1))/(INDEX(SIE,2)-INDEX(SIE,1))</f>
        <v>0.8414795185173517</v>
      </c>
      <c r="C61" s="91">
        <v>1</v>
      </c>
      <c r="D61" s="91">
        <v>0</v>
      </c>
      <c r="E61" s="91">
        <v>0</v>
      </c>
      <c r="F61" s="91">
        <v>0</v>
      </c>
      <c r="G61" s="91">
        <v>0</v>
      </c>
      <c r="H61" s="91">
        <v>0</v>
      </c>
      <c r="I61" s="91">
        <v>0</v>
      </c>
      <c r="J61" s="91">
        <v>0</v>
      </c>
      <c r="K61" s="91">
        <v>0</v>
      </c>
      <c r="L61" s="91">
        <v>0</v>
      </c>
      <c r="M61" s="91">
        <v>0</v>
      </c>
      <c r="N61" s="91">
        <v>0</v>
      </c>
      <c r="O61" s="91">
        <v>0</v>
      </c>
      <c r="P61" s="91">
        <v>0</v>
      </c>
      <c r="Q61" s="91">
        <v>0</v>
      </c>
      <c r="R61" s="91">
        <v>0</v>
      </c>
      <c r="S61" s="91">
        <v>0</v>
      </c>
      <c r="T61" s="91">
        <v>0</v>
      </c>
      <c r="U61" s="91">
        <v>0</v>
      </c>
      <c r="W61" s="93">
        <f aca="true" t="shared" si="40" ref="W61:W79">W60+1</f>
        <v>2</v>
      </c>
      <c r="X61" s="91">
        <f>Model!$E10</f>
        <v>0.49950546979373706</v>
      </c>
    </row>
    <row r="62" spans="1:24" ht="12.75">
      <c r="A62" s="93">
        <f t="shared" si="39"/>
        <v>3</v>
      </c>
      <c r="B62" s="91">
        <f>(INDEX(BIJ,3,1)*INDEX(SIE,1)*INDEX(TIJ,1,1)+INDEX(BIJ,3,2)*INDEX(SIE,2)*INDEX(TIJ,2,1))/(INDEX(SIE,3)-INDEX(SIE,1))</f>
        <v>0.48992470807531713</v>
      </c>
      <c r="C62" s="91">
        <f>(INDEX(BIJ,3,2)*INDEX(SIE,2)*INDEX(TIJ,2,2))/(INDEX(SIE,3)-INDEX(SIE,2))</f>
        <v>0.845646273380083</v>
      </c>
      <c r="D62" s="91">
        <v>1</v>
      </c>
      <c r="E62" s="91">
        <v>0</v>
      </c>
      <c r="F62" s="91">
        <v>0</v>
      </c>
      <c r="G62" s="91">
        <v>0</v>
      </c>
      <c r="H62" s="91">
        <v>0</v>
      </c>
      <c r="I62" s="91">
        <v>0</v>
      </c>
      <c r="J62" s="91">
        <v>0</v>
      </c>
      <c r="K62" s="91">
        <v>0</v>
      </c>
      <c r="L62" s="91">
        <v>0</v>
      </c>
      <c r="M62" s="91">
        <v>0</v>
      </c>
      <c r="N62" s="91">
        <v>0</v>
      </c>
      <c r="O62" s="91">
        <v>0</v>
      </c>
      <c r="P62" s="91">
        <v>0</v>
      </c>
      <c r="Q62" s="91">
        <v>0</v>
      </c>
      <c r="R62" s="91">
        <v>0</v>
      </c>
      <c r="S62" s="91">
        <v>0</v>
      </c>
      <c r="T62" s="91">
        <v>0</v>
      </c>
      <c r="U62" s="91">
        <v>0</v>
      </c>
      <c r="W62" s="93">
        <f t="shared" si="40"/>
        <v>3</v>
      </c>
      <c r="X62" s="91">
        <f>Model!$E11</f>
        <v>0.8323668389034689</v>
      </c>
    </row>
    <row r="63" spans="1:24" ht="12.75">
      <c r="A63" s="93">
        <f t="shared" si="39"/>
        <v>4</v>
      </c>
      <c r="B63" s="91">
        <f>(INDEX(BIJ,4,1)*INDEX(SIE,1)*INDEX(TIJ,1,1)+INDEX(BIJ,4,2)*INDEX(SIE,2)*INDEX(TIJ,2,1)+INDEX(BIJ,4,3)*INDEX(SIE,3)*INDEX(TIJ,3,1))/(INDEX(SIE,4)-INDEX(SIE,1))</f>
        <v>0.3866061511852075</v>
      </c>
      <c r="C63" s="91">
        <f>(INDEX(BIJ,4,2)*INDEX(SIE,2)*INDEX(TIJ,2,2)+INDEX(BIJ,4,3)*INDEX(SIE,3)*INDEX(TIJ,3,2))/(INDEX(SIE,4)-INDEX(SIE,2))</f>
        <v>0.7768630638662878</v>
      </c>
      <c r="D63" s="91">
        <f>(INDEX(BIJ,4,3)*INDEX(SIE,3)*INDEX(TIJ,3,3))/(INDEX(SIE,4)-INDEX(SIE,3))</f>
        <v>1.434673780288901</v>
      </c>
      <c r="E63" s="91">
        <v>1</v>
      </c>
      <c r="F63" s="91">
        <v>0</v>
      </c>
      <c r="G63" s="91">
        <v>0</v>
      </c>
      <c r="H63" s="91">
        <v>0</v>
      </c>
      <c r="I63" s="91">
        <v>0</v>
      </c>
      <c r="J63" s="91">
        <v>0</v>
      </c>
      <c r="K63" s="91">
        <v>0</v>
      </c>
      <c r="L63" s="91">
        <v>0</v>
      </c>
      <c r="M63" s="91">
        <v>0</v>
      </c>
      <c r="N63" s="91">
        <v>0</v>
      </c>
      <c r="O63" s="91">
        <v>0</v>
      </c>
      <c r="P63" s="91">
        <v>0</v>
      </c>
      <c r="Q63" s="91">
        <v>0</v>
      </c>
      <c r="R63" s="91">
        <v>0</v>
      </c>
      <c r="S63" s="91">
        <v>0</v>
      </c>
      <c r="T63" s="91">
        <v>0</v>
      </c>
      <c r="U63" s="91">
        <v>0</v>
      </c>
      <c r="W63" s="93">
        <f t="shared" si="40"/>
        <v>4</v>
      </c>
      <c r="X63" s="91">
        <f>Model!$E12</f>
        <v>1.1913792635157423</v>
      </c>
    </row>
    <row r="64" spans="1:24" ht="12.75">
      <c r="A64" s="93">
        <f t="shared" si="39"/>
        <v>5</v>
      </c>
      <c r="B64" s="91">
        <f>(INDEX(BIJ,5,1)*INDEX(SIE,1)*INDEX(TIJ,1,1)+INDEX(BIJ,5,2)*INDEX(SIE,2)*INDEX(TIJ,2,1)+INDEX(BIJ,5,3)*INDEX(SIE,3)*INDEX(TIJ,3,1)+INDEX(BIJ,5,4)*INDEX(SIE,4)*INDEX(TIJ,4,1))/(INDEX(SIE,5)-INDEX(SIE,1))</f>
        <v>0.31532715381113546</v>
      </c>
      <c r="C64" s="91">
        <f>(INDEX(BIJ,5,2)*INDEX(SIE,2)*INDEX(TIJ,2,2)+INDEX(BIJ,5,3)*INDEX(SIE,3)*INDEX(TIJ,3,2)+INDEX(BIJ,5,4)*INDEX(SIE,4)*INDEX(TIJ,4,2))/(INDEX(SIE,5)-INDEX(SIE,2))</f>
        <v>0.7219959867431697</v>
      </c>
      <c r="D64" s="91">
        <f>(INDEX(BIJ,5,3)*INDEX(SIE,3)*INDEX(TIJ,3,3)+INDEX(BIJ,5,4)*INDEX(SIE,4)*INDEX(TIJ,4,3))/(INDEX(SIE,5)-INDEX(SIE,3))</f>
        <v>1.8092605323457414</v>
      </c>
      <c r="E64" s="91">
        <f>(INDEX(BIJ,5,4)*INDEX(SIE,4)*INDEX(TIJ,4,4))/(INDEX(SIE,5)-INDEX(SIE,4))</f>
        <v>2.469465690227814</v>
      </c>
      <c r="F64" s="91">
        <v>1</v>
      </c>
      <c r="G64" s="91">
        <v>0</v>
      </c>
      <c r="H64" s="91">
        <v>0</v>
      </c>
      <c r="I64" s="91">
        <v>0</v>
      </c>
      <c r="J64" s="91">
        <v>0</v>
      </c>
      <c r="K64" s="91">
        <v>0</v>
      </c>
      <c r="L64" s="91">
        <v>0</v>
      </c>
      <c r="M64" s="91">
        <v>0</v>
      </c>
      <c r="N64" s="91">
        <v>0</v>
      </c>
      <c r="O64" s="91">
        <v>0</v>
      </c>
      <c r="P64" s="91">
        <v>0</v>
      </c>
      <c r="Q64" s="91">
        <v>0</v>
      </c>
      <c r="R64" s="91">
        <v>0</v>
      </c>
      <c r="S64" s="91">
        <v>0</v>
      </c>
      <c r="T64" s="91">
        <v>0</v>
      </c>
      <c r="U64" s="91">
        <v>0</v>
      </c>
      <c r="W64" s="93">
        <f t="shared" si="40"/>
        <v>5</v>
      </c>
      <c r="X64" s="91">
        <f>Model!$E13</f>
        <v>1.4877832796288644</v>
      </c>
    </row>
    <row r="65" spans="1:24" ht="12.75">
      <c r="A65" s="93">
        <f t="shared" si="39"/>
        <v>6</v>
      </c>
      <c r="B65" s="91">
        <f>(INDEX(BIJ,6,1)*INDEX(SIE,1)*INDEX(TIJ,1,1)+INDEX(BIJ,6,2)*INDEX(SIE,2)*INDEX(TIJ,2,1)+INDEX(BIJ,6,3)*INDEX(SIE,3)*INDEX(TIJ,3,1)+INDEX(BIJ,6,4)*INDEX(SIE,4)*INDEX(TIJ,4,1)+INDEX(BIJ,6,5)*INDEX(SIE,5)*INDEX(TIJ,5,1))/(INDEX(SIE,6)-INDEX(SIE,1))</f>
        <v>0.31539855236960523</v>
      </c>
      <c r="C65" s="91">
        <f>(INDEX(BIJ,6,2)*INDEX(SIE,2)*INDEX(TIJ,2,2)+INDEX(BIJ,6,3)*INDEX(SIE,3)*INDEX(TIJ,3,2)+INDEX(BIJ,6,4)*INDEX(SIE,4)*INDEX(TIJ,4,2)+INDEX(BIJ,6,5)*INDEX(SIE,5)*INDEX(TIJ,5,2))/(INDEX(SIE,6)-INDEX(SIE,2))</f>
        <v>0.8211298684762628</v>
      </c>
      <c r="D65" s="91">
        <f>(INDEX(BIJ,6,3)*INDEX(SIE,3)*INDEX(TIJ,3,3)+INDEX(BIJ,6,4)*INDEX(SIE,4)*INDEX(TIJ,4,3)+INDEX(BIJ,6,5)*INDEX(SIE,5)*INDEX(TIJ,5,3))/(INDEX(SIE,6)-INDEX(SIE,3))</f>
        <v>2.75237990147777</v>
      </c>
      <c r="E65" s="91">
        <f>(INDEX(BIJ,6,4)*INDEX(SIE,4)*INDEX(TIJ,4,4)+INDEX(BIJ,6,5)*INDEX(SIE,5)*INDEX(TIJ,5,4))/(INDEX(SIE,6)-INDEX(SIE,4))</f>
        <v>6.760891009961852</v>
      </c>
      <c r="F65" s="91">
        <f>(INDEX(BIJ,6,5)*INDEX(SIE,5)*INDEX(TIJ,5,5))/(INDEX(SIE,6)-INDEX(SIE,5))</f>
        <v>13.271258022148952</v>
      </c>
      <c r="G65" s="91">
        <v>1</v>
      </c>
      <c r="H65" s="91">
        <v>0</v>
      </c>
      <c r="I65" s="91">
        <v>0</v>
      </c>
      <c r="J65" s="91">
        <v>0</v>
      </c>
      <c r="K65" s="91">
        <v>0</v>
      </c>
      <c r="L65" s="91">
        <v>0</v>
      </c>
      <c r="M65" s="91">
        <v>0</v>
      </c>
      <c r="N65" s="91">
        <v>0</v>
      </c>
      <c r="O65" s="91">
        <v>0</v>
      </c>
      <c r="P65" s="91">
        <v>0</v>
      </c>
      <c r="Q65" s="91">
        <v>0</v>
      </c>
      <c r="R65" s="91">
        <v>0</v>
      </c>
      <c r="S65" s="91">
        <v>0</v>
      </c>
      <c r="T65" s="91">
        <v>0</v>
      </c>
      <c r="U65" s="91">
        <v>0</v>
      </c>
      <c r="W65" s="93">
        <f t="shared" si="40"/>
        <v>6</v>
      </c>
      <c r="X65" s="91">
        <f>Model!$E14</f>
        <v>1.5571538796653868</v>
      </c>
    </row>
    <row r="66" spans="1:24" ht="12.75">
      <c r="A66" s="93">
        <f t="shared" si="39"/>
        <v>7</v>
      </c>
      <c r="B66" s="91">
        <f>(INDEX(BIJ,7,1)*INDEX(SIE,1)*INDEX(TIJ,1,1)+INDEX(BIJ,7,2)*INDEX(SIE,2)*INDEX(TIJ,2,1)+INDEX(BIJ,7,3)*INDEX(SIE,3)*INDEX(TIJ,3,1)+INDEX(BIJ,7,4)*INDEX(SIE,4)*INDEX(TIJ,4,1)+INDEX(BIJ,7,5)*INDEX(SIE,5)*INDEX(TIJ,5,1)+INDEX(BIJ,7,6)*INDEX(SIE,6)*INDEX(TIJ,6,1))/(INDEX(SIE,7)-INDEX(SIE,1))</f>
        <v>0.3690761884015493</v>
      </c>
      <c r="C66" s="91">
        <f>(INDEX(BIJ,7,2)*INDEX(SIE,2)*INDEX(TIJ,2,2)+INDEX(BIJ,7,3)*INDEX(SIE,3)*INDEX(TIJ,3,2)+INDEX(BIJ,7,4)*INDEX(SIE,4)*INDEX(TIJ,4,2)+INDEX(BIJ,7,5)*INDEX(SIE,5)*INDEX(TIJ,5,2)+INDEX(BIJ,7,6)*INDEX(SIE,6)*INDEX(TIJ,6,2))/(INDEX(SIE,7)-INDEX(SIE,2))</f>
        <v>1.1198146080549012</v>
      </c>
      <c r="D66" s="91">
        <f>(INDEX(BIJ,7,3)*INDEX(SIE,3)*INDEX(TIJ,3,3)+INDEX(BIJ,7,4)*INDEX(SIE,4)*INDEX(TIJ,4,3)+INDEX(BIJ,7,5)*INDEX(SIE,5)*INDEX(TIJ,5,3)+INDEX(BIJ,7,6)*INDEX(SIE,6)*INDEX(TIJ,6,3))/(INDEX(SIE,7)-INDEX(SIE,3))</f>
        <v>5.378875282277542</v>
      </c>
      <c r="E66" s="91">
        <f>(INDEX(BIJ,7,4)*INDEX(SIE,4)*INDEX(TIJ,4,4)+INDEX(BIJ,7,5)*INDEX(SIE,5)*INDEX(TIJ,5,4)+INDEX(BIJ,7,6)*INDEX(SIE,6)*INDEX(TIJ,6,4))/(INDEX(SIE,7)-INDEX(SIE,4))</f>
        <v>30.336464316161884</v>
      </c>
      <c r="F66" s="91">
        <f>(INDEX(BIJ,7,5)*INDEX(SIE,5)*INDEX(TIJ,5,5)+INDEX(BIJ,7,6)*INDEX(SIE,6)*INDEX(TIJ,6,5))/(INDEX(SIE,7)-INDEX(SIE,5))</f>
        <v>-219.81179245279895</v>
      </c>
      <c r="G66" s="91">
        <f>(INDEX(BIJ,7,6)*INDEX(SIE,6)*INDEX(TIJ,6,6))/(INDEX(SIE,7)-INDEX(SIE,6))</f>
        <v>-7.495387879153374</v>
      </c>
      <c r="H66" s="91">
        <v>1</v>
      </c>
      <c r="I66" s="91">
        <v>0</v>
      </c>
      <c r="J66" s="91">
        <v>0</v>
      </c>
      <c r="K66" s="91">
        <v>0</v>
      </c>
      <c r="L66" s="91">
        <v>0</v>
      </c>
      <c r="M66" s="91">
        <v>0</v>
      </c>
      <c r="N66" s="91">
        <v>0</v>
      </c>
      <c r="O66" s="91">
        <v>0</v>
      </c>
      <c r="P66" s="91">
        <v>0</v>
      </c>
      <c r="Q66" s="91">
        <v>0</v>
      </c>
      <c r="R66" s="91">
        <v>0</v>
      </c>
      <c r="S66" s="91">
        <v>0</v>
      </c>
      <c r="T66" s="91">
        <v>0</v>
      </c>
      <c r="U66" s="91">
        <v>0</v>
      </c>
      <c r="W66" s="93">
        <f t="shared" si="40"/>
        <v>7</v>
      </c>
      <c r="X66" s="91">
        <f>Model!$E15</f>
        <v>1.4284064738264983</v>
      </c>
    </row>
    <row r="67" spans="1:24" ht="12.75">
      <c r="A67" s="93">
        <f t="shared" si="39"/>
        <v>8</v>
      </c>
      <c r="B67" s="91">
        <f>(INDEX(BIJ,8,1)*INDEX(SIE,1)*INDEX(TIJ,1,1)+INDEX(BIJ,8,2)*INDEX(SIE,2)*INDEX(TIJ,2,1)+INDEX(BIJ,8,3)*INDEX(SIE,3)*INDEX(TIJ,3,1)+INDEX(BIJ,8,4)*INDEX(SIE,4)*INDEX(TIJ,4,1)+INDEX(BIJ,8,5)*INDEX(SIE,5)*INDEX(TIJ,5,1)+INDEX(BIJ,8,6)*INDEX(SIE,6)*INDEX(TIJ,6,1)+INDEX(BIJ,8,7)*INDEX(SIE,7)*INDEX(TIJ,7,1))/(INDEX(SIE,8)-INDEX(SIE,1))</f>
        <v>0.4668587821745867</v>
      </c>
      <c r="C67" s="91">
        <f>(INDEX(BIJ,8,2)*INDEX(SIE,2)*INDEX(TIJ,2,2)+INDEX(BIJ,8,3)*INDEX(SIE,3)*INDEX(TIJ,3,2)+INDEX(BIJ,8,4)*INDEX(SIE,4)*INDEX(TIJ,4,2)+INDEX(BIJ,8,5)*INDEX(SIE,5)*INDEX(TIJ,5,2)+INDEX(BIJ,8,6)*INDEX(SIE,6)*INDEX(TIJ,6,2)+INDEX(BIJ,8,7)*INDEX(SIE,7)*INDEX(TIJ,7,2))/(INDEX(SIE,8)-INDEX(SIE,2))</f>
        <v>1.7310258161682708</v>
      </c>
      <c r="D67" s="91">
        <f>(INDEX(BIJ,8,3)*INDEX(SIE,3)*INDEX(TIJ,3,3)+INDEX(BIJ,8,4)*INDEX(SIE,4)*INDEX(TIJ,4,3)+INDEX(BIJ,8,5)*INDEX(SIE,5)*INDEX(TIJ,5,3)+INDEX(BIJ,8,6)*INDEX(SIE,6)*INDEX(TIJ,6,3)+INDEX(BIJ,8,7)*INDEX(SIE,7)*INDEX(TIJ,7,3))/(INDEX(SIE,8)-INDEX(SIE,3))</f>
        <v>14.057925556405731</v>
      </c>
      <c r="E67" s="91">
        <f>(INDEX(BIJ,8,4)*INDEX(SIE,4)*INDEX(TIJ,4,4)+INDEX(BIJ,8,5)*INDEX(SIE,5)*INDEX(TIJ,5,4)+INDEX(BIJ,8,6)*INDEX(SIE,6)*INDEX(TIJ,6,4)+INDEX(BIJ,8,7)*INDEX(SIE,7)*INDEX(TIJ,7,4))/(INDEX(SIE,8)-INDEX(SIE,4))</f>
        <v>926.1126630245105</v>
      </c>
      <c r="F67" s="91">
        <f>(INDEX(BIJ,8,5)*INDEX(SIE,5)*INDEX(TIJ,5,5)+INDEX(BIJ,8,6)*INDEX(SIE,6)*INDEX(TIJ,6,5)+INDEX(BIJ,8,7)*INDEX(SIE,7)*INDEX(TIJ,7,5))/(INDEX(SIE,8)-INDEX(SIE,5))</f>
        <v>695.2981275025771</v>
      </c>
      <c r="G67" s="91">
        <f>(INDEX(BIJ,8,6)*INDEX(SIE,6)*INDEX(TIJ,6,6)+INDEX(BIJ,8,7)*INDEX(SIE,7)*INDEX(TIJ,7,6))/(INDEX(SIE,8)-INDEX(SIE,6))</f>
        <v>18.414207610962695</v>
      </c>
      <c r="H67" s="91">
        <f>(INDEX(BIJ,8,7)*INDEX(SIE,7)*INDEX(TIJ,7,7))/(INDEX(SIE,8)-INDEX(SIE,7))</f>
        <v>-4.144433270397369</v>
      </c>
      <c r="I67" s="91">
        <v>1</v>
      </c>
      <c r="J67" s="91">
        <v>0</v>
      </c>
      <c r="K67" s="91">
        <v>0</v>
      </c>
      <c r="L67" s="91">
        <v>0</v>
      </c>
      <c r="M67" s="91">
        <v>0</v>
      </c>
      <c r="N67" s="91">
        <v>0</v>
      </c>
      <c r="O67" s="91">
        <v>0</v>
      </c>
      <c r="P67" s="91">
        <v>0</v>
      </c>
      <c r="Q67" s="91">
        <v>0</v>
      </c>
      <c r="R67" s="91">
        <v>0</v>
      </c>
      <c r="S67" s="91">
        <v>0</v>
      </c>
      <c r="T67" s="91">
        <v>0</v>
      </c>
      <c r="U67" s="91">
        <v>0</v>
      </c>
      <c r="W67" s="93">
        <f t="shared" si="40"/>
        <v>8</v>
      </c>
      <c r="X67" s="91">
        <f>Model!$E16</f>
        <v>1.2214914657409541</v>
      </c>
    </row>
    <row r="68" spans="1:24" ht="12.75">
      <c r="A68" s="93">
        <f t="shared" si="39"/>
        <v>9</v>
      </c>
      <c r="B68" s="91">
        <f>(INDEX(BIJ,9,1)*INDEX(SIE,1)*INDEX(TIJ,1,1)+INDEX(BIJ,9,2)*INDEX(SIE,2)*INDEX(TIJ,2,1)+INDEX(BIJ,9,3)*INDEX(SIE,3)*INDEX(TIJ,3,1)+INDEX(BIJ,9,4)*INDEX(SIE,4)*INDEX(TIJ,4,1)+INDEX(BIJ,9,5)*INDEX(SIE,5)*INDEX(TIJ,5,1)+INDEX(BIJ,9,6)*INDEX(SIE,6)*INDEX(TIJ,6,1)+INDEX(BIJ,9,7)*INDEX(SIE,7)*INDEX(TIJ,7,1)+INDEX(BIJ,9,8)*INDEX(SIE,8)*INDEX(TIJ,8,1))/(INDEX(SIE,9)-INDEX(SIE,1))</f>
        <v>0.7086193587244535</v>
      </c>
      <c r="C68" s="91">
        <f>(INDEX(BIJ,9,2)*INDEX(SIE,2)*INDEX(TIJ,2,2)+INDEX(BIJ,9,3)*INDEX(SIE,3)*INDEX(TIJ,3,2)+INDEX(BIJ,9,4)*INDEX(SIE,4)*INDEX(TIJ,4,2)+INDEX(BIJ,9,5)*INDEX(SIE,5)*INDEX(TIJ,5,2)+INDEX(BIJ,9,6)*INDEX(SIE,6)*INDEX(TIJ,6,2)+INDEX(BIJ,9,7)*INDEX(SIE,7)*INDEX(TIJ,7,2)+INDEX(BIJ,9,8)*INDEX(SIE,8)*INDEX(TIJ,8,2))/(INDEX(SIE,9)-INDEX(SIE,2))</f>
        <v>3.4692456988710973</v>
      </c>
      <c r="D68" s="91">
        <f>(INDEX(BIJ,9,3)*INDEX(SIE,3)*INDEX(TIJ,3,3)+INDEX(BIJ,9,4)*INDEX(SIE,4)*INDEX(TIJ,4,3)+INDEX(BIJ,9,5)*INDEX(SIE,5)*INDEX(TIJ,5,3)+INDEX(BIJ,9,6)*INDEX(SIE,6)*INDEX(TIJ,6,3)+INDEX(BIJ,9,7)*INDEX(SIE,7)*INDEX(TIJ,7,3)+INDEX(BIJ,9,8)*INDEX(SIE,8)*INDEX(TIJ,8,3))/(INDEX(SIE,9)-INDEX(SIE,3))</f>
        <v>73.32818596675254</v>
      </c>
      <c r="E68" s="91">
        <f>(INDEX(BIJ,9,4)*INDEX(SIE,4)*INDEX(TIJ,4,4)+INDEX(BIJ,9,5)*INDEX(SIE,5)*INDEX(TIJ,5,4)+INDEX(BIJ,9,6)*INDEX(SIE,6)*INDEX(TIJ,6,4)+INDEX(BIJ,9,7)*INDEX(SIE,7)*INDEX(TIJ,7,4)+INDEX(BIJ,9,8)*INDEX(SIE,8)*INDEX(TIJ,8,4))/(INDEX(SIE,9)-INDEX(SIE,4))</f>
        <v>-3857.7280857587834</v>
      </c>
      <c r="F68" s="91">
        <f>(INDEX(BIJ,9,5)*INDEX(SIE,5)*INDEX(TIJ,5,5)+INDEX(BIJ,9,6)*INDEX(SIE,6)*INDEX(TIJ,6,5)+INDEX(BIJ,9,7)*INDEX(SIE,7)*INDEX(TIJ,7,5)+INDEX(BIJ,9,8)*INDEX(SIE,8)*INDEX(TIJ,8,5))/(INDEX(SIE,9)-INDEX(SIE,5))</f>
        <v>-993.531574232875</v>
      </c>
      <c r="G68" s="91">
        <f>(INDEX(BIJ,9,6)*INDEX(SIE,6)*INDEX(TIJ,6,6)+INDEX(BIJ,9,7)*INDEX(SIE,7)*INDEX(TIJ,7,6)+INDEX(BIJ,9,8)*INDEX(SIE,8)*INDEX(TIJ,8,6))/(INDEX(SIE,9)-INDEX(SIE,6))</f>
        <v>-22.328563062794696</v>
      </c>
      <c r="H68" s="91">
        <f>(INDEX(BIJ,9,7)*INDEX(SIE,7)*INDEX(TIJ,7,7)+INDEX(BIJ,9,8)*INDEX(SIE,8)*INDEX(TIJ,8,7))/(INDEX(SIE,9)-INDEX(SIE,7))</f>
        <v>6.923306256817931</v>
      </c>
      <c r="I68" s="91">
        <f>(INDEX(BIJ,9,8)*INDEX(SIE,8)*INDEX(TIJ,8,8))/(INDEX(SIE,9)-INDEX(SIE,8))</f>
        <v>-3.546579468693437</v>
      </c>
      <c r="J68" s="91">
        <v>1</v>
      </c>
      <c r="K68" s="91">
        <v>0</v>
      </c>
      <c r="L68" s="91">
        <v>0</v>
      </c>
      <c r="M68" s="91">
        <v>0</v>
      </c>
      <c r="N68" s="91">
        <v>0</v>
      </c>
      <c r="O68" s="91">
        <v>0</v>
      </c>
      <c r="P68" s="91">
        <v>0</v>
      </c>
      <c r="Q68" s="91">
        <v>0</v>
      </c>
      <c r="R68" s="91">
        <v>0</v>
      </c>
      <c r="S68" s="91">
        <v>0</v>
      </c>
      <c r="T68" s="91">
        <v>0</v>
      </c>
      <c r="U68" s="91">
        <v>0</v>
      </c>
      <c r="W68" s="93">
        <f t="shared" si="40"/>
        <v>9</v>
      </c>
      <c r="X68" s="91">
        <f>Model!$E17</f>
        <v>1.0039104153538159</v>
      </c>
    </row>
    <row r="69" spans="1:24" ht="12.75">
      <c r="A69" s="93">
        <f t="shared" si="39"/>
        <v>10</v>
      </c>
      <c r="B69" s="91">
        <f>(INDEX(BIJ,10,1)*INDEX(SIE,1)*INDEX(TIJ,1,1)+INDEX(BIJ,10,2)*INDEX(SIE,2)*INDEX(TIJ,2,1)+INDEX(BIJ,10,3)*INDEX(SIE,3)*INDEX(TIJ,3,1)+INDEX(BIJ,10,4)*INDEX(SIE,4)*INDEX(TIJ,4,1)+INDEX(BIJ,10,5)*INDEX(SIE,5)*INDEX(TIJ,5,1)+INDEX(BIJ,10,6)*INDEX(SIE,6)*INDEX(TIJ,6,1)+INDEX(BIJ,10,7)*INDEX(SIE,7)*INDEX(TIJ,7,1)+INDEX(BIJ,10,8)*INDEX(SIE,8)*INDEX(TIJ,8,1)+INDEX(BIJ,10,9)*INDEX(SIE,9)*INDEX(TIJ,9,1))/(INDEX(SIE,10)-INDEX(SIE,1))</f>
        <v>1.0723189629781267</v>
      </c>
      <c r="C69" s="91">
        <f>(INDEX(BIJ,10,2)*INDEX(SIE,2)*INDEX(TIJ,2,2)+INDEX(BIJ,10,3)*INDEX(SIE,3)*INDEX(TIJ,3,2)+INDEX(BIJ,10,4)*INDEX(SIE,4)*INDEX(TIJ,4,2)+INDEX(BIJ,10,5)*INDEX(SIE,5)*INDEX(TIJ,5,2)+INDEX(BIJ,10,6)*INDEX(SIE,6)*INDEX(TIJ,6,2)+INDEX(BIJ,10,7)*INDEX(SIE,7)*INDEX(TIJ,7,2)+INDEX(BIJ,10,8)*INDEX(SIE,8)*INDEX(TIJ,8,2)+INDEX(BIJ,10,9)*INDEX(SIE,9)*INDEX(TIJ,9,2))/(INDEX(SIE,10)-INDEX(SIE,2))</f>
        <v>8.17404265439803</v>
      </c>
      <c r="D69" s="91">
        <f>(INDEX(BIJ,10,3)*INDEX(SIE,3)*INDEX(TIJ,3,3)+INDEX(BIJ,10,4)*INDEX(SIE,4)*INDEX(TIJ,4,3)+INDEX(BIJ,10,5)*INDEX(SIE,5)*INDEX(TIJ,5,3)+INDEX(BIJ,10,6)*INDEX(SIE,6)*INDEX(TIJ,6,3)+INDEX(BIJ,10,7)*INDEX(SIE,7)*INDEX(TIJ,7,3)+INDEX(BIJ,10,8)*INDEX(SIE,8)*INDEX(TIJ,8,3)+INDEX(BIJ,10,9)*INDEX(SIE,9)*INDEX(TIJ,9,3))/(INDEX(SIE,10)-INDEX(SIE,3))</f>
        <v>-2266.6266070417687</v>
      </c>
      <c r="E69" s="91">
        <f>(INDEX(BIJ,10,4)*INDEX(SIE,4)*INDEX(TIJ,4,4)+INDEX(BIJ,10,5)*INDEX(SIE,5)*INDEX(TIJ,5,4)+INDEX(BIJ,10,6)*INDEX(SIE,6)*INDEX(TIJ,6,4)+INDEX(BIJ,10,7)*INDEX(SIE,7)*INDEX(TIJ,7,4)+INDEX(BIJ,10,8)*INDEX(SIE,8)*INDEX(TIJ,8,4)+INDEX(BIJ,10,9)*INDEX(SIE,9)*INDEX(TIJ,9,4))/(INDEX(SIE,10)-INDEX(SIE,4))</f>
        <v>5667.0850893542665</v>
      </c>
      <c r="F69" s="91">
        <f>(INDEX(BIJ,10,5)*INDEX(SIE,5)*INDEX(TIJ,5,5)+INDEX(BIJ,10,6)*INDEX(SIE,6)*INDEX(TIJ,6,5)+INDEX(BIJ,10,7)*INDEX(SIE,7)*INDEX(TIJ,7,5)+INDEX(BIJ,10,8)*INDEX(SIE,8)*INDEX(TIJ,8,5)+INDEX(BIJ,10,9)*INDEX(SIE,9)*INDEX(TIJ,9,5))/(INDEX(SIE,10)-INDEX(SIE,5))</f>
        <v>719.3866144776854</v>
      </c>
      <c r="G69" s="91">
        <f>(INDEX(BIJ,10,6)*INDEX(SIE,6)*INDEX(TIJ,6,6)+INDEX(BIJ,10,7)*INDEX(SIE,7)*INDEX(TIJ,7,6)+INDEX(BIJ,10,8)*INDEX(SIE,8)*INDEX(TIJ,8,6)+INDEX(BIJ,10,9)*INDEX(SIE,9)*INDEX(TIJ,9,6))/(INDEX(SIE,10)-INDEX(SIE,6))</f>
        <v>14.191198945319314</v>
      </c>
      <c r="H69" s="91">
        <f>(INDEX(BIJ,10,7)*INDEX(SIE,7)*INDEX(TIJ,7,7)+INDEX(BIJ,10,8)*INDEX(SIE,8)*INDEX(TIJ,8,7)+INDEX(BIJ,10,9)*INDEX(SIE,9)*INDEX(TIJ,9,7))/(INDEX(SIE,10)-INDEX(SIE,7))</f>
        <v>-5.647527410370146</v>
      </c>
      <c r="I69" s="91">
        <f>(INDEX(BIJ,10,8)*INDEX(SIE,8)*INDEX(TIJ,8,8)+INDEX(BIJ,10,9)*INDEX(SIE,9)*INDEX(TIJ,9,8))/(INDEX(SIE,10)-INDEX(SIE,8))</f>
        <v>4.766390850594543</v>
      </c>
      <c r="J69" s="91">
        <f>(INDEX(BIJ,10,9)*INDEX(SIE,9)*INDEX(TIJ,9,9))/(INDEX(SIE,10)-INDEX(SIE,9))</f>
        <v>-3.132289951475784</v>
      </c>
      <c r="K69" s="91">
        <v>1</v>
      </c>
      <c r="L69" s="91">
        <v>0</v>
      </c>
      <c r="M69" s="91">
        <v>0</v>
      </c>
      <c r="N69" s="91">
        <v>0</v>
      </c>
      <c r="O69" s="91">
        <v>0</v>
      </c>
      <c r="P69" s="91">
        <v>0</v>
      </c>
      <c r="Q69" s="91">
        <v>0</v>
      </c>
      <c r="R69" s="91">
        <v>0</v>
      </c>
      <c r="S69" s="91">
        <v>0</v>
      </c>
      <c r="T69" s="91">
        <v>0</v>
      </c>
      <c r="U69" s="91">
        <v>0</v>
      </c>
      <c r="W69" s="93">
        <f t="shared" si="40"/>
        <v>10</v>
      </c>
      <c r="X69" s="91">
        <f>Model!$E18</f>
        <v>0.811495676068215</v>
      </c>
    </row>
    <row r="70" spans="1:24" ht="12.75">
      <c r="A70" s="93">
        <f t="shared" si="39"/>
        <v>11</v>
      </c>
      <c r="B70" s="91">
        <f>(INDEX(BIJ,11,1)*INDEX(SIE,1)*INDEX(TIJ,1,1)+INDEX(BIJ,11,2)*INDEX(SIE,2)*INDEX(TIJ,2,1)+INDEX(BIJ,11,3)*INDEX(SIE,3)*INDEX(TIJ,3,1)+INDEX(BIJ,11,4)*INDEX(SIE,4)*INDEX(TIJ,4,1)+INDEX(BIJ,11,5)*INDEX(SIE,5)*INDEX(TIJ,5,1)+INDEX(BIJ,11,6)*INDEX(SIE,6)*INDEX(TIJ,6,1)+INDEX(BIJ,11,7)*INDEX(SIE,7)*INDEX(TIJ,7,1)+INDEX(BIJ,11,8)*INDEX(SIE,8)*INDEX(TIJ,8,1)+INDEX(BIJ,11,9)*INDEX(SIE,9)*INDEX(TIJ,9,1)+INDEX(BIJ,11,10)*INDEX(SIE,10)*INDEX(TIJ,10,1))/(INDEX(SIE,11)-INDEX(SIE,1))</f>
        <v>1.9517806804945719</v>
      </c>
      <c r="C70" s="91">
        <f>(INDEX(BIJ,11,2)*INDEX(SIE,2)*INDEX(TIJ,2,2)+INDEX(BIJ,11,3)*INDEX(SIE,3)*INDEX(TIJ,3,2)+INDEX(BIJ,11,4)*INDEX(SIE,4)*INDEX(TIJ,4,2)+INDEX(BIJ,11,5)*INDEX(SIE,5)*INDEX(TIJ,5,2)+INDEX(BIJ,11,6)*INDEX(SIE,6)*INDEX(TIJ,6,2)+INDEX(BIJ,11,7)*INDEX(SIE,7)*INDEX(TIJ,7,2)+INDEX(BIJ,11,8)*INDEX(SIE,8)*INDEX(TIJ,8,2)+INDEX(BIJ,11,9)*INDEX(SIE,9)*INDEX(TIJ,9,2)+INDEX(BIJ,11,10)*INDEX(SIE,10)*INDEX(TIJ,10,2))/(INDEX(SIE,11)-INDEX(SIE,2))</f>
        <v>31.647800583350225</v>
      </c>
      <c r="D70" s="91">
        <f>(INDEX(BIJ,11,3)*INDEX(SIE,3)*INDEX(TIJ,3,3)+INDEX(BIJ,11,4)*INDEX(SIE,4)*INDEX(TIJ,4,3)+INDEX(BIJ,11,5)*INDEX(SIE,5)*INDEX(TIJ,5,3)+INDEX(BIJ,11,6)*INDEX(SIE,6)*INDEX(TIJ,6,3)+INDEX(BIJ,11,7)*INDEX(SIE,7)*INDEX(TIJ,7,3)+INDEX(BIJ,11,8)*INDEX(SIE,8)*INDEX(TIJ,8,3)+INDEX(BIJ,11,9)*INDEX(SIE,9)*INDEX(TIJ,9,3)+INDEX(BIJ,11,10)*INDEX(SIE,10)*INDEX(TIJ,10,3))/(INDEX(SIE,11)-INDEX(SIE,3))</f>
        <v>6321.135605630313</v>
      </c>
      <c r="E70" s="91">
        <f>(INDEX(BIJ,11,4)*INDEX(SIE,4)*INDEX(TIJ,4,4)+INDEX(BIJ,11,5)*INDEX(SIE,5)*INDEX(TIJ,5,4)+INDEX(BIJ,11,6)*INDEX(SIE,6)*INDEX(TIJ,6,4)+INDEX(BIJ,11,7)*INDEX(SIE,7)*INDEX(TIJ,7,4)+INDEX(BIJ,11,8)*INDEX(SIE,8)*INDEX(TIJ,8,4)+INDEX(BIJ,11,9)*INDEX(SIE,9)*INDEX(TIJ,9,4)+INDEX(BIJ,11,10)*INDEX(SIE,10)*INDEX(TIJ,10,4))/(INDEX(SIE,11)-INDEX(SIE,4))</f>
        <v>-4128.4245618055675</v>
      </c>
      <c r="F70" s="91">
        <f>(INDEX(BIJ,11,5)*INDEX(SIE,5)*INDEX(TIJ,5,5)+INDEX(BIJ,11,6)*INDEX(SIE,6)*INDEX(TIJ,6,5)+INDEX(BIJ,11,7)*INDEX(SIE,7)*INDEX(TIJ,7,5)+INDEX(BIJ,11,8)*INDEX(SIE,8)*INDEX(TIJ,8,5)+INDEX(BIJ,11,9)*INDEX(SIE,9)*INDEX(TIJ,9,5)+INDEX(BIJ,11,10)*INDEX(SIE,10)*INDEX(TIJ,10,5))/(INDEX(SIE,11)-INDEX(SIE,5))</f>
        <v>-265.17840442809415</v>
      </c>
      <c r="G70" s="91">
        <f>(INDEX(BIJ,11,6)*INDEX(SIE,6)*INDEX(TIJ,6,6)+INDEX(BIJ,11,7)*INDEX(SIE,7)*INDEX(TIJ,7,6)+INDEX(BIJ,11,8)*INDEX(SIE,8)*INDEX(TIJ,8,6)+INDEX(BIJ,11,9)*INDEX(SIE,9)*INDEX(TIJ,9,6)+INDEX(BIJ,11,10)*INDEX(SIE,10)*INDEX(TIJ,10,6))/(INDEX(SIE,11)-INDEX(SIE,6))</f>
        <v>-4.521553911041957</v>
      </c>
      <c r="H70" s="91">
        <f>(INDEX(BIJ,11,7)*INDEX(SIE,7)*INDEX(TIJ,7,7)+INDEX(BIJ,11,8)*INDEX(SIE,8)*INDEX(TIJ,8,7)+INDEX(BIJ,11,9)*INDEX(SIE,9)*INDEX(TIJ,9,7)+INDEX(BIJ,11,10)*INDEX(SIE,10)*INDEX(TIJ,10,7))/(INDEX(SIE,11)-INDEX(SIE,7))</f>
        <v>2.36378614440675</v>
      </c>
      <c r="I70" s="91">
        <f>(INDEX(BIJ,11,8)*INDEX(SIE,8)*INDEX(TIJ,8,8)+INDEX(BIJ,11,9)*INDEX(SIE,9)*INDEX(TIJ,9,8)+INDEX(BIJ,11,10)*INDEX(SIE,10)*INDEX(TIJ,10,8))/(INDEX(SIE,11)-INDEX(SIE,8))</f>
        <v>-3.215751275090701</v>
      </c>
      <c r="J70" s="91">
        <f>(INDEX(BIJ,11,9)*INDEX(SIE,9)*INDEX(TIJ,9,9)+INDEX(BIJ,11,10)*INDEX(SIE,10)*INDEX(TIJ,10,9))/(INDEX(SIE,11)-INDEX(SIE,9))</f>
        <v>3.9899118854841165</v>
      </c>
      <c r="K70" s="91">
        <f>(INDEX(BIJ,11,10)*INDEX(SIE,10)*INDEX(TIJ,10,10))/(INDEX(SIE,11)-INDEX(SIE,10))</f>
        <v>-3.2002338615180497</v>
      </c>
      <c r="L70" s="91">
        <v>1</v>
      </c>
      <c r="M70" s="91">
        <v>0</v>
      </c>
      <c r="N70" s="91">
        <v>0</v>
      </c>
      <c r="O70" s="91">
        <v>0</v>
      </c>
      <c r="P70" s="91">
        <v>0</v>
      </c>
      <c r="Q70" s="91">
        <v>0</v>
      </c>
      <c r="R70" s="91">
        <v>0</v>
      </c>
      <c r="S70" s="91">
        <v>0</v>
      </c>
      <c r="T70" s="91">
        <v>0</v>
      </c>
      <c r="U70" s="91">
        <v>0</v>
      </c>
      <c r="W70" s="93">
        <f t="shared" si="40"/>
        <v>11</v>
      </c>
      <c r="X70" s="91">
        <f>Model!$E19</f>
        <v>0.6547717291315082</v>
      </c>
    </row>
    <row r="71" spans="1:24" ht="12.75">
      <c r="A71" s="93">
        <f t="shared" si="39"/>
        <v>12</v>
      </c>
      <c r="B71" s="91">
        <f>(INDEX(BIJ,12,1)*INDEX(SIE,1)*INDEX(TIJ,1,1)+INDEX(BIJ,12,2)*INDEX(SIE,2)*INDEX(TIJ,2,1)+INDEX(BIJ,12,3)*INDEX(SIE,3)*INDEX(TIJ,3,1)+INDEX(BIJ,12,4)*INDEX(SIE,4)*INDEX(TIJ,4,1)+INDEX(BIJ,12,5)*INDEX(SIE,5)*INDEX(TIJ,5,1)+INDEX(BIJ,12,6)*INDEX(SIE,6)*INDEX(TIJ,6,1)+INDEX(BIJ,12,7)*INDEX(SIE,7)*INDEX(TIJ,7,1)+INDEX(BIJ,12,8)*INDEX(SIE,8)*INDEX(TIJ,8,1)+INDEX(BIJ,12,9)*INDEX(SIE,9)*INDEX(TIJ,9,1)+INDEX(BIJ,12,10)*INDEX(SIE,10)*INDEX(TIJ,10,1)+INDEX(BIJ,12,11)*INDEX(SIE,11)*INDEX(TIJ,11,1))/(INDEX(SIE,12)-INDEX(SIE,1))</f>
        <v>4.136434183219456</v>
      </c>
      <c r="C71" s="91">
        <f>(INDEX(BIJ,12,2)*INDEX(SIE,2)*INDEX(TIJ,2,2)+INDEX(BIJ,12,3)*INDEX(SIE,3)*INDEX(TIJ,3,2)+INDEX(BIJ,12,4)*INDEX(SIE,4)*INDEX(TIJ,4,2)+INDEX(BIJ,12,5)*INDEX(SIE,5)*INDEX(TIJ,5,2)+INDEX(BIJ,12,6)*INDEX(SIE,6)*INDEX(TIJ,6,2)+INDEX(BIJ,12,7)*INDEX(SIE,7)*INDEX(TIJ,7,2)+INDEX(BIJ,12,8)*INDEX(SIE,8)*INDEX(TIJ,8,2)+INDEX(BIJ,12,9)*INDEX(SIE,9)*INDEX(TIJ,9,2)+INDEX(BIJ,12,10)*INDEX(SIE,10)*INDEX(TIJ,10,2)+INDEX(BIJ,12,11)*INDEX(SIE,11)*INDEX(TIJ,11,2))/(INDEX(SIE,12)-INDEX(SIE,2))</f>
        <v>579.4124887387873</v>
      </c>
      <c r="D71" s="91">
        <f>(INDEX(BIJ,12,3)*INDEX(SIE,3)*INDEX(TIJ,3,3)+INDEX(BIJ,12,4)*INDEX(SIE,4)*INDEX(TIJ,4,3)+INDEX(BIJ,12,5)*INDEX(SIE,5)*INDEX(TIJ,5,3)+INDEX(BIJ,12,6)*INDEX(SIE,6)*INDEX(TIJ,6,3)+INDEX(BIJ,12,7)*INDEX(SIE,7)*INDEX(TIJ,7,3)+INDEX(BIJ,12,8)*INDEX(SIE,8)*INDEX(TIJ,8,3)+INDEX(BIJ,12,9)*INDEX(SIE,9)*INDEX(TIJ,9,3)+INDEX(BIJ,12,10)*INDEX(SIE,10)*INDEX(TIJ,10,3)+INDEX(BIJ,12,11)*INDEX(SIE,11)*INDEX(TIJ,11,3))/(INDEX(SIE,12)-INDEX(SIE,3))</f>
        <v>-7291.833461908629</v>
      </c>
      <c r="E71" s="91">
        <f>(INDEX(BIJ,12,4)*INDEX(SIE,4)*INDEX(TIJ,4,4)+INDEX(BIJ,12,5)*INDEX(SIE,5)*INDEX(TIJ,5,4)+INDEX(BIJ,12,6)*INDEX(SIE,6)*INDEX(TIJ,6,4)+INDEX(BIJ,12,7)*INDEX(SIE,7)*INDEX(TIJ,7,4)+INDEX(BIJ,12,8)*INDEX(SIE,8)*INDEX(TIJ,8,4)+INDEX(BIJ,12,9)*INDEX(SIE,9)*INDEX(TIJ,9,4)+INDEX(BIJ,12,10)*INDEX(SIE,10)*INDEX(TIJ,10,4)+INDEX(BIJ,12,11)*INDEX(SIE,11)*INDEX(TIJ,11,4))/(INDEX(SIE,12)-INDEX(SIE,4))</f>
        <v>1637.4939746940665</v>
      </c>
      <c r="F71" s="91">
        <f>(INDEX(BIJ,12,5)*INDEX(SIE,5)*INDEX(TIJ,5,5)+INDEX(BIJ,12,6)*INDEX(SIE,6)*INDEX(TIJ,6,5)+INDEX(BIJ,12,7)*INDEX(SIE,7)*INDEX(TIJ,7,5)+INDEX(BIJ,12,8)*INDEX(SIE,8)*INDEX(TIJ,8,5)+INDEX(BIJ,12,9)*INDEX(SIE,9)*INDEX(TIJ,9,5)+INDEX(BIJ,12,10)*INDEX(SIE,10)*INDEX(TIJ,10,5)+INDEX(BIJ,12,11)*INDEX(SIE,11)*INDEX(TIJ,11,5))/(INDEX(SIE,12)-INDEX(SIE,5))</f>
        <v>52.44047794513969</v>
      </c>
      <c r="G71" s="91">
        <f>(INDEX(BIJ,12,6)*INDEX(SIE,6)*INDEX(TIJ,6,6)+INDEX(BIJ,12,7)*INDEX(SIE,7)*INDEX(TIJ,7,6)+INDEX(BIJ,12,8)*INDEX(SIE,8)*INDEX(TIJ,8,6)+INDEX(BIJ,12,9)*INDEX(SIE,9)*INDEX(TIJ,9,6)+INDEX(BIJ,12,10)*INDEX(SIE,10)*INDEX(TIJ,10,6)+INDEX(BIJ,12,11)*INDEX(SIE,11)*INDEX(TIJ,11,6))/(INDEX(SIE,12)-INDEX(SIE,6))</f>
        <v>0.7590285819632724</v>
      </c>
      <c r="H71" s="91">
        <f>(INDEX(BIJ,12,7)*INDEX(SIE,7)*INDEX(TIJ,7,7)+INDEX(BIJ,12,8)*INDEX(SIE,8)*INDEX(TIJ,8,7)+INDEX(BIJ,12,9)*INDEX(SIE,9)*INDEX(TIJ,9,7)+INDEX(BIJ,12,10)*INDEX(SIE,10)*INDEX(TIJ,10,7)+INDEX(BIJ,12,11)*INDEX(SIE,11)*INDEX(TIJ,11,7))/(INDEX(SIE,12)-INDEX(SIE,7))</f>
        <v>-0.5367283819439105</v>
      </c>
      <c r="I71" s="91">
        <f>(INDEX(BIJ,12,8)*INDEX(SIE,8)*INDEX(TIJ,8,8)+INDEX(BIJ,12,9)*INDEX(SIE,9)*INDEX(TIJ,9,8)+INDEX(BIJ,12,10)*INDEX(SIE,10)*INDEX(TIJ,10,8)+INDEX(BIJ,12,11)*INDEX(SIE,11)*INDEX(TIJ,11,8))/(INDEX(SIE,12)-INDEX(SIE,8))</f>
        <v>1.185552676245597</v>
      </c>
      <c r="J71" s="91">
        <f>(INDEX(BIJ,12,9)*INDEX(SIE,9)*INDEX(TIJ,9,9)+INDEX(BIJ,12,10)*INDEX(SIE,10)*INDEX(TIJ,10,9)+INDEX(BIJ,12,11)*INDEX(SIE,11)*INDEX(TIJ,11,9))/(INDEX(SIE,12)-INDEX(SIE,9))</f>
        <v>-2.5935492843220196</v>
      </c>
      <c r="K71" s="91">
        <f>(INDEX(BIJ,12,10)*INDEX(SIE,10)*INDEX(TIJ,10,10)+INDEX(BIJ,12,11)*INDEX(SIE,11)*INDEX(TIJ,11,10))/(INDEX(SIE,12)-INDEX(SIE,10))</f>
        <v>4.0197306516372455</v>
      </c>
      <c r="L71" s="91">
        <f>(INDEX(BIJ,12,11)*INDEX(SIE,11)*INDEX(TIJ,11,11))/(INDEX(SIE,12)-INDEX(SIE,11))</f>
        <v>-3.0775485062333052</v>
      </c>
      <c r="M71" s="91">
        <v>1</v>
      </c>
      <c r="N71" s="91">
        <v>0</v>
      </c>
      <c r="O71" s="91">
        <v>0</v>
      </c>
      <c r="P71" s="91">
        <v>0</v>
      </c>
      <c r="Q71" s="91">
        <v>0</v>
      </c>
      <c r="R71" s="91">
        <v>0</v>
      </c>
      <c r="S71" s="91">
        <v>0</v>
      </c>
      <c r="T71" s="91">
        <v>0</v>
      </c>
      <c r="U71" s="91">
        <v>0</v>
      </c>
      <c r="W71" s="93">
        <f t="shared" si="40"/>
        <v>12</v>
      </c>
      <c r="X71" s="91">
        <f>Model!$E20</f>
        <v>0.5238985057284355</v>
      </c>
    </row>
    <row r="72" spans="1:24" ht="12.75">
      <c r="A72" s="93">
        <f t="shared" si="39"/>
        <v>13</v>
      </c>
      <c r="B72" s="91">
        <f>(INDEX(BIJ,13,1)*INDEX(SIE,1)*INDEX(TIJ,1,1)+INDEX(BIJ,13,2)*INDEX(SIE,2)*INDEX(TIJ,2,1)+INDEX(BIJ,13,3)*INDEX(SIE,3)*INDEX(TIJ,3,1)+INDEX(BIJ,13,4)*INDEX(SIE,4)*INDEX(TIJ,4,1)+INDEX(BIJ,13,5)*INDEX(SIE,5)*INDEX(TIJ,5,1)+INDEX(BIJ,13,6)*INDEX(SIE,6)*INDEX(TIJ,6,1)+INDEX(BIJ,13,7)*INDEX(SIE,7)*INDEX(TIJ,7,1)+INDEX(BIJ,13,8)*INDEX(SIE,8)*INDEX(TIJ,8,1)+INDEX(BIJ,13,9)*INDEX(SIE,9)*INDEX(TIJ,9,1)+INDEX(BIJ,13,10)*INDEX(SIE,10)*INDEX(TIJ,10,1)+INDEX(BIJ,13,11)*INDEX(SIE,11)*INDEX(TIJ,11,1)+INDEX(BIJ,13,12)*INDEX(SIE,12)*INDEX(TIJ,12,1))/(INDEX(SIE,13)-INDEX(SIE,1))</f>
        <v>11.869015712499746</v>
      </c>
      <c r="C72" s="91">
        <f>(INDEX(BIJ,13,2)*INDEX(SIE,2)*INDEX(TIJ,2,2)+INDEX(BIJ,13,3)*INDEX(SIE,3)*INDEX(TIJ,3,2)+INDEX(BIJ,13,4)*INDEX(SIE,4)*INDEX(TIJ,4,2)+INDEX(BIJ,13,5)*INDEX(SIE,5)*INDEX(TIJ,5,2)+INDEX(BIJ,13,6)*INDEX(SIE,6)*INDEX(TIJ,6,2)+INDEX(BIJ,13,7)*INDEX(SIE,7)*INDEX(TIJ,7,2)+INDEX(BIJ,13,8)*INDEX(SIE,8)*INDEX(TIJ,8,2)+INDEX(BIJ,13,9)*INDEX(SIE,9)*INDEX(TIJ,9,2)+INDEX(BIJ,13,10)*INDEX(SIE,10)*INDEX(TIJ,10,2)+INDEX(BIJ,13,11)*INDEX(SIE,11)*INDEX(TIJ,11,2)+INDEX(BIJ,13,12)*INDEX(SIE,12)*INDEX(TIJ,12,2))/(INDEX(SIE,13)-INDEX(SIE,2))</f>
        <v>-2368.807928428499</v>
      </c>
      <c r="D72" s="91">
        <f>(INDEX(BIJ,13,3)*INDEX(SIE,3)*INDEX(TIJ,3,3)+INDEX(BIJ,13,4)*INDEX(SIE,4)*INDEX(TIJ,4,3)+INDEX(BIJ,13,5)*INDEX(SIE,5)*INDEX(TIJ,5,3)+INDEX(BIJ,13,6)*INDEX(SIE,6)*INDEX(TIJ,6,3)+INDEX(BIJ,13,7)*INDEX(SIE,7)*INDEX(TIJ,7,3)+INDEX(BIJ,13,8)*INDEX(SIE,8)*INDEX(TIJ,8,3)+INDEX(BIJ,13,9)*INDEX(SIE,9)*INDEX(TIJ,9,3)+INDEX(BIJ,13,10)*INDEX(SIE,10)*INDEX(TIJ,10,3)+INDEX(BIJ,13,11)*INDEX(SIE,11)*INDEX(TIJ,11,3)+INDEX(BIJ,13,12)*INDEX(SIE,12)*INDEX(TIJ,12,3))/(INDEX(SIE,13)-INDEX(SIE,3))</f>
        <v>4263.56561061619</v>
      </c>
      <c r="E72" s="91">
        <f>(INDEX(BIJ,13,4)*INDEX(SIE,4)*INDEX(TIJ,4,4)+INDEX(BIJ,13,5)*INDEX(SIE,5)*INDEX(TIJ,5,4)+INDEX(BIJ,13,6)*INDEX(SIE,6)*INDEX(TIJ,6,4)+INDEX(BIJ,13,7)*INDEX(SIE,7)*INDEX(TIJ,7,4)+INDEX(BIJ,13,8)*INDEX(SIE,8)*INDEX(TIJ,8,4)+INDEX(BIJ,13,9)*INDEX(SIE,9)*INDEX(TIJ,9,4)+INDEX(BIJ,13,10)*INDEX(SIE,10)*INDEX(TIJ,10,4)+INDEX(BIJ,13,11)*INDEX(SIE,11)*INDEX(TIJ,11,4)+INDEX(BIJ,13,12)*INDEX(SIE,12)*INDEX(TIJ,12,4))/(INDEX(SIE,13)-INDEX(SIE,4))</f>
        <v>-316.259511569932</v>
      </c>
      <c r="F72" s="91">
        <f>(INDEX(BIJ,13,5)*INDEX(SIE,5)*INDEX(TIJ,5,5)+INDEX(BIJ,13,6)*INDEX(SIE,6)*INDEX(TIJ,6,5)+INDEX(BIJ,13,7)*INDEX(SIE,7)*INDEX(TIJ,7,5)+INDEX(BIJ,13,8)*INDEX(SIE,8)*INDEX(TIJ,8,5)+INDEX(BIJ,13,9)*INDEX(SIE,9)*INDEX(TIJ,9,5)+INDEX(BIJ,13,10)*INDEX(SIE,10)*INDEX(TIJ,10,5)+INDEX(BIJ,13,11)*INDEX(SIE,11)*INDEX(TIJ,11,5)+INDEX(BIJ,13,12)*INDEX(SIE,12)*INDEX(TIJ,12,5))/(INDEX(SIE,13)-INDEX(SIE,5))</f>
        <v>-3.5633185432855443</v>
      </c>
      <c r="G72" s="91">
        <f>(INDEX(BIJ,13,6)*INDEX(SIE,6)*INDEX(TIJ,6,6)+INDEX(BIJ,13,7)*INDEX(SIE,7)*INDEX(TIJ,7,6)+INDEX(BIJ,13,8)*INDEX(SIE,8)*INDEX(TIJ,8,6)+INDEX(BIJ,13,9)*INDEX(SIE,9)*INDEX(TIJ,9,6)+INDEX(BIJ,13,10)*INDEX(SIE,10)*INDEX(TIJ,10,6)+INDEX(BIJ,13,11)*INDEX(SIE,11)*INDEX(TIJ,11,6)+INDEX(BIJ,13,12)*INDEX(SIE,12)*INDEX(TIJ,12,6))/(INDEX(SIE,13)-INDEX(SIE,6))</f>
        <v>-0.035929083039864015</v>
      </c>
      <c r="H72" s="91">
        <f>(INDEX(BIJ,13,7)*INDEX(SIE,7)*INDEX(TIJ,7,7)+INDEX(BIJ,13,8)*INDEX(SIE,8)*INDEX(TIJ,8,7)+INDEX(BIJ,13,9)*INDEX(SIE,9)*INDEX(TIJ,9,7)+INDEX(BIJ,13,10)*INDEX(SIE,10)*INDEX(TIJ,10,7)+INDEX(BIJ,13,11)*INDEX(SIE,11)*INDEX(TIJ,11,7)+INDEX(BIJ,13,12)*INDEX(SIE,12)*INDEX(TIJ,12,7))/(INDEX(SIE,13)-INDEX(SIE,7))</f>
        <v>0.046901609162358755</v>
      </c>
      <c r="I72" s="91">
        <f>(INDEX(BIJ,13,8)*INDEX(SIE,8)*INDEX(TIJ,8,8)+INDEX(BIJ,13,9)*INDEX(SIE,9)*INDEX(TIJ,9,8)+INDEX(BIJ,13,10)*INDEX(SIE,10)*INDEX(TIJ,10,8)+INDEX(BIJ,13,11)*INDEX(SIE,11)*INDEX(TIJ,11,8)+INDEX(BIJ,13,12)*INDEX(SIE,12)*INDEX(TIJ,12,8))/(INDEX(SIE,13)-INDEX(SIE,8))</f>
        <v>-0.20896062748676963</v>
      </c>
      <c r="J72" s="91">
        <f>(INDEX(BIJ,13,9)*INDEX(SIE,9)*INDEX(TIJ,9,9)+INDEX(BIJ,13,10)*INDEX(SIE,10)*INDEX(TIJ,10,9)+INDEX(BIJ,13,11)*INDEX(SIE,11)*INDEX(TIJ,11,9)+INDEX(BIJ,13,12)*INDEX(SIE,12)*INDEX(TIJ,12,9))/(INDEX(SIE,13)-INDEX(SIE,9))</f>
        <v>0.8754262890156521</v>
      </c>
      <c r="K72" s="91">
        <f>(INDEX(BIJ,13,10)*INDEX(SIE,10)*INDEX(TIJ,10,10)+INDEX(BIJ,13,11)*INDEX(SIE,11)*INDEX(TIJ,11,10)+INDEX(BIJ,13,12)*INDEX(SIE,12)*INDEX(TIJ,12,10))/(INDEX(SIE,13)-INDEX(SIE,10))</f>
        <v>-2.5305938188233985</v>
      </c>
      <c r="L72" s="91">
        <f>(INDEX(BIJ,13,11)*INDEX(SIE,11)*INDEX(TIJ,11,11)+INDEX(BIJ,13,12)*INDEX(SIE,12)*INDEX(TIJ,12,11))/(INDEX(SIE,13)-INDEX(SIE,11))</f>
        <v>3.7577723465830974</v>
      </c>
      <c r="M72" s="91">
        <f>(INDEX(BIJ,13,12)*INDEX(SIE,12)*INDEX(TIJ,12,12))/(INDEX(SIE,13)-INDEX(SIE,12))</f>
        <v>-3.0759470531341826</v>
      </c>
      <c r="N72" s="91">
        <v>1</v>
      </c>
      <c r="O72" s="91">
        <v>0</v>
      </c>
      <c r="P72" s="91">
        <v>0</v>
      </c>
      <c r="Q72" s="91">
        <v>0</v>
      </c>
      <c r="R72" s="91">
        <v>0</v>
      </c>
      <c r="S72" s="91">
        <v>0</v>
      </c>
      <c r="T72" s="91">
        <v>0</v>
      </c>
      <c r="U72" s="91">
        <v>0</v>
      </c>
      <c r="W72" s="93">
        <f t="shared" si="40"/>
        <v>13</v>
      </c>
      <c r="X72" s="91">
        <f>Model!$E21</f>
        <v>0.4186298273284206</v>
      </c>
    </row>
    <row r="73" spans="1:24" ht="12.75">
      <c r="A73" s="93">
        <f t="shared" si="39"/>
        <v>14</v>
      </c>
      <c r="B73" s="91">
        <f>(INDEX(BIJ,14,1)*INDEX(SIE,1)*INDEX(TIJ,1,1)+INDEX(BIJ,14,2)*INDEX(SIE,2)*INDEX(TIJ,2,1)+INDEX(BIJ,14,3)*INDEX(SIE,3)*INDEX(TIJ,3,1)+INDEX(BIJ,14,4)*INDEX(SIE,4)*INDEX(TIJ,4,1)+INDEX(BIJ,14,5)*INDEX(SIE,5)*INDEX(TIJ,5,1)+INDEX(BIJ,14,6)*INDEX(SIE,6)*INDEX(TIJ,6,1)+INDEX(BIJ,14,7)*INDEX(SIE,7)*INDEX(TIJ,7,1)+INDEX(BIJ,14,8)*INDEX(SIE,8)*INDEX(TIJ,8,1)+INDEX(BIJ,14,9)*INDEX(SIE,9)*INDEX(TIJ,9,1)+INDEX(BIJ,14,10)*INDEX(SIE,10)*INDEX(TIJ,10,1)+INDEX(BIJ,14,11)*INDEX(SIE,11)*INDEX(TIJ,11,1)+INDEX(BIJ,14,12)*INDEX(SIE,12)*INDEX(TIJ,12,1)+INDEX(BIJ,14,13)*INDEX(SIE,13)*INDEX(TIJ,13,1))/(INDEX(SIE,14)-INDEX(SIE,1))</f>
        <v>65.2746523977461</v>
      </c>
      <c r="C73" s="91">
        <f>(INDEX(BIJ,14,2)*INDEX(SIE,2)*INDEX(TIJ,2,2)+INDEX(BIJ,14,3)*INDEX(SIE,3)*INDEX(TIJ,3,2)+INDEX(BIJ,14,4)*INDEX(SIE,4)*INDEX(TIJ,4,2)+INDEX(BIJ,14,5)*INDEX(SIE,5)*INDEX(TIJ,5,2)+INDEX(BIJ,14,6)*INDEX(SIE,6)*INDEX(TIJ,6,2)+INDEX(BIJ,14,7)*INDEX(SIE,7)*INDEX(TIJ,7,2)+INDEX(BIJ,14,8)*INDEX(SIE,8)*INDEX(TIJ,8,2)+INDEX(BIJ,14,9)*INDEX(SIE,9)*INDEX(TIJ,9,2)+INDEX(BIJ,14,10)*INDEX(SIE,10)*INDEX(TIJ,10,2)+INDEX(BIJ,14,11)*INDEX(SIE,11)*INDEX(TIJ,11,2)+INDEX(BIJ,14,12)*INDEX(SIE,12)*INDEX(TIJ,12,2)+INDEX(BIJ,14,13)*INDEX(SIE,13)*INDEX(TIJ,13,2))/(INDEX(SIE,14)-INDEX(SIE,2))</f>
        <v>3389.5752259361734</v>
      </c>
      <c r="D73" s="91">
        <f>(INDEX(BIJ,14,3)*INDEX(SIE,3)*INDEX(TIJ,3,3)+INDEX(BIJ,14,4)*INDEX(SIE,4)*INDEX(TIJ,4,3)+INDEX(BIJ,14,5)*INDEX(SIE,5)*INDEX(TIJ,5,3)+INDEX(BIJ,14,6)*INDEX(SIE,6)*INDEX(TIJ,6,3)+INDEX(BIJ,14,7)*INDEX(SIE,7)*INDEX(TIJ,7,3)+INDEX(BIJ,14,8)*INDEX(SIE,8)*INDEX(TIJ,8,3)+INDEX(BIJ,14,9)*INDEX(SIE,9)*INDEX(TIJ,9,3)+INDEX(BIJ,14,10)*INDEX(SIE,10)*INDEX(TIJ,10,3)+INDEX(BIJ,14,11)*INDEX(SIE,11)*INDEX(TIJ,11,3)+INDEX(BIJ,14,12)*INDEX(SIE,12)*INDEX(TIJ,12,3)+INDEX(BIJ,14,13)*INDEX(SIE,13)*INDEX(TIJ,13,3))/(INDEX(SIE,14)-INDEX(SIE,3))</f>
        <v>-1299.6668393641842</v>
      </c>
      <c r="E73" s="91">
        <f>(INDEX(BIJ,14,4)*INDEX(SIE,4)*INDEX(TIJ,4,4)+INDEX(BIJ,14,5)*INDEX(SIE,5)*INDEX(TIJ,5,4)+INDEX(BIJ,14,6)*INDEX(SIE,6)*INDEX(TIJ,6,4)+INDEX(BIJ,14,7)*INDEX(SIE,7)*INDEX(TIJ,7,4)+INDEX(BIJ,14,8)*INDEX(SIE,8)*INDEX(TIJ,8,4)+INDEX(BIJ,14,9)*INDEX(SIE,9)*INDEX(TIJ,9,4)+INDEX(BIJ,14,10)*INDEX(SIE,10)*INDEX(TIJ,10,4)+INDEX(BIJ,14,11)*INDEX(SIE,11)*INDEX(TIJ,11,4)+INDEX(BIJ,14,12)*INDEX(SIE,12)*INDEX(TIJ,12,4)+INDEX(BIJ,14,13)*INDEX(SIE,13)*INDEX(TIJ,13,4))/(INDEX(SIE,14)-INDEX(SIE,4))</f>
        <v>23.57249878512188</v>
      </c>
      <c r="F73" s="91">
        <f>(INDEX(BIJ,14,5)*INDEX(SIE,5)*INDEX(TIJ,5,5)+INDEX(BIJ,14,6)*INDEX(SIE,6)*INDEX(TIJ,6,5)+INDEX(BIJ,14,7)*INDEX(SIE,7)*INDEX(TIJ,7,5)+INDEX(BIJ,14,8)*INDEX(SIE,8)*INDEX(TIJ,8,5)+INDEX(BIJ,14,9)*INDEX(SIE,9)*INDEX(TIJ,9,5)+INDEX(BIJ,14,10)*INDEX(SIE,10)*INDEX(TIJ,10,5)+INDEX(BIJ,14,11)*INDEX(SIE,11)*INDEX(TIJ,11,5)+INDEX(BIJ,14,12)*INDEX(SIE,12)*INDEX(TIJ,12,5)+INDEX(BIJ,14,13)*INDEX(SIE,13)*INDEX(TIJ,13,5))/(INDEX(SIE,14)-INDEX(SIE,5))</f>
        <v>0.022118420858349735</v>
      </c>
      <c r="G73" s="91">
        <f>(INDEX(BIJ,14,6)*INDEX(SIE,6)*INDEX(TIJ,6,6)+INDEX(BIJ,14,7)*INDEX(SIE,7)*INDEX(TIJ,7,6)+INDEX(BIJ,14,8)*INDEX(SIE,8)*INDEX(TIJ,8,6)+INDEX(BIJ,14,9)*INDEX(SIE,9)*INDEX(TIJ,9,6)+INDEX(BIJ,14,10)*INDEX(SIE,10)*INDEX(TIJ,10,6)+INDEX(BIJ,14,11)*INDEX(SIE,11)*INDEX(TIJ,11,6)+INDEX(BIJ,14,12)*INDEX(SIE,12)*INDEX(TIJ,12,6)+INDEX(BIJ,14,13)*INDEX(SIE,13)*INDEX(TIJ,13,6))/(INDEX(SIE,14)-INDEX(SIE,6))</f>
        <v>0.0005714412737789493</v>
      </c>
      <c r="H73" s="91">
        <f>(INDEX(BIJ,14,7)*INDEX(SIE,7)*INDEX(TIJ,7,7)+INDEX(BIJ,14,8)*INDEX(SIE,8)*INDEX(TIJ,8,7)+INDEX(BIJ,14,9)*INDEX(SIE,9)*INDEX(TIJ,9,7)+INDEX(BIJ,14,10)*INDEX(SIE,10)*INDEX(TIJ,10,7)+INDEX(BIJ,14,11)*INDEX(SIE,11)*INDEX(TIJ,11,7)+INDEX(BIJ,14,12)*INDEX(SIE,12)*INDEX(TIJ,12,7)+INDEX(BIJ,14,13)*INDEX(SIE,13)*INDEX(TIJ,13,7))/(INDEX(SIE,14)-INDEX(SIE,7))</f>
        <v>-0.000548141067471779</v>
      </c>
      <c r="I73" s="91">
        <f>(INDEX(BIJ,14,8)*INDEX(SIE,8)*INDEX(TIJ,8,8)+INDEX(BIJ,14,9)*INDEX(SIE,9)*INDEX(TIJ,9,8)+INDEX(BIJ,14,10)*INDEX(SIE,10)*INDEX(TIJ,10,8)+INDEX(BIJ,14,11)*INDEX(SIE,11)*INDEX(TIJ,11,8)+INDEX(BIJ,14,12)*INDEX(SIE,12)*INDEX(TIJ,12,8)+INDEX(BIJ,14,13)*INDEX(SIE,13)*INDEX(TIJ,13,8))/(INDEX(SIE,14)-INDEX(SIE,8))</f>
        <v>0.01337227709357714</v>
      </c>
      <c r="J73" s="91">
        <f>(INDEX(BIJ,14,9)*INDEX(SIE,9)*INDEX(TIJ,9,9)+INDEX(BIJ,14,10)*INDEX(SIE,10)*INDEX(TIJ,10,9)+INDEX(BIJ,14,11)*INDEX(SIE,11)*INDEX(TIJ,11,9)+INDEX(BIJ,14,12)*INDEX(SIE,12)*INDEX(TIJ,12,9)+INDEX(BIJ,14,13)*INDEX(SIE,13)*INDEX(TIJ,13,9))/(INDEX(SIE,14)-INDEX(SIE,9))</f>
        <v>-0.14267536059310532</v>
      </c>
      <c r="K73" s="91">
        <f>(INDEX(BIJ,14,10)*INDEX(SIE,10)*INDEX(TIJ,10,10)+INDEX(BIJ,14,11)*INDEX(SIE,11)*INDEX(TIJ,11,10)+INDEX(BIJ,14,12)*INDEX(SIE,12)*INDEX(TIJ,12,10)+INDEX(BIJ,14,13)*INDEX(SIE,13)*INDEX(TIJ,13,10))/(INDEX(SIE,14)-INDEX(SIE,10))</f>
        <v>0.8329854278921005</v>
      </c>
      <c r="L73" s="91">
        <f>(INDEX(BIJ,14,11)*INDEX(SIE,11)*INDEX(TIJ,11,11)+INDEX(BIJ,14,12)*INDEX(SIE,12)*INDEX(TIJ,12,11)+INDEX(BIJ,14,13)*INDEX(SIE,13)*INDEX(TIJ,13,11))/(INDEX(SIE,14)-INDEX(SIE,11))</f>
        <v>-2.306165208252317</v>
      </c>
      <c r="M73" s="91">
        <f>(INDEX(BIJ,14,12)*INDEX(SIE,12)*INDEX(TIJ,12,12)+INDEX(BIJ,14,13)*INDEX(SIE,13)*INDEX(TIJ,13,12))/(INDEX(SIE,14)-INDEX(SIE,12))</f>
        <v>3.732710867186589</v>
      </c>
      <c r="N73" s="91">
        <f>(INDEX(BIJ,14,13)*INDEX(SIE,13)*INDEX(TIJ,13,13))/(INDEX(SIE,14)-INDEX(SIE,13))</f>
        <v>-3.055242062064784</v>
      </c>
      <c r="O73" s="91">
        <v>1</v>
      </c>
      <c r="P73" s="91">
        <v>0</v>
      </c>
      <c r="Q73" s="91">
        <v>0</v>
      </c>
      <c r="R73" s="91">
        <v>0</v>
      </c>
      <c r="S73" s="91">
        <v>0</v>
      </c>
      <c r="T73" s="91">
        <v>0</v>
      </c>
      <c r="U73" s="91">
        <v>0</v>
      </c>
      <c r="W73" s="93">
        <f t="shared" si="40"/>
        <v>14</v>
      </c>
      <c r="X73" s="91">
        <f>Model!$E22</f>
        <v>0.3340712187701149</v>
      </c>
    </row>
    <row r="74" spans="1:24" ht="12.75">
      <c r="A74" s="93">
        <f t="shared" si="39"/>
        <v>15</v>
      </c>
      <c r="B74" s="91">
        <f>(INDEX(BIJ,15,1)*INDEX(SIE,1)*INDEX(TIJ,1,1)+INDEX(BIJ,15,2)*INDEX(SIE,2)*INDEX(TIJ,2,1)+INDEX(BIJ,15,3)*INDEX(SIE,3)*INDEX(TIJ,3,1)+INDEX(BIJ,15,4)*INDEX(SIE,4)*INDEX(TIJ,4,1)+INDEX(BIJ,15,5)*INDEX(SIE,5)*INDEX(TIJ,5,1)+INDEX(BIJ,15,6)*INDEX(SIE,6)*INDEX(TIJ,6,1)+INDEX(BIJ,15,7)*INDEX(SIE,7)*INDEX(TIJ,7,1)+INDEX(BIJ,15,8)*INDEX(SIE,8)*INDEX(TIJ,8,1)+INDEX(BIJ,15,9)*INDEX(SIE,9)*INDEX(TIJ,9,1)+INDEX(BIJ,15,10)*INDEX(SIE,10)*INDEX(TIJ,10,1)+INDEX(BIJ,15,11)*INDEX(SIE,11)*INDEX(TIJ,11,1)+INDEX(BIJ,15,12)*INDEX(SIE,12)*INDEX(TIJ,12,1)+INDEX(BIJ,15,13)*INDEX(SIE,13)*INDEX(TIJ,13,1)+INDEX(BIJ,15,14)*INDEX(SIE,14)*INDEX(TIJ,14,1))/(INDEX(SIE,15)-INDEX(SIE,1))</f>
        <v>-1113.1476497524206</v>
      </c>
      <c r="C74" s="91">
        <f>(INDEX(BIJ,15,2)*INDEX(SIE,2)*INDEX(TIJ,2,2)+INDEX(BIJ,15,3)*INDEX(SIE,3)*INDEX(TIJ,3,2)+INDEX(BIJ,15,4)*INDEX(SIE,4)*INDEX(TIJ,4,2)+INDEX(BIJ,15,5)*INDEX(SIE,5)*INDEX(TIJ,5,2)+INDEX(BIJ,15,6)*INDEX(SIE,6)*INDEX(TIJ,6,2)+INDEX(BIJ,15,7)*INDEX(SIE,7)*INDEX(TIJ,7,2)+INDEX(BIJ,15,8)*INDEX(SIE,8)*INDEX(TIJ,8,2)+INDEX(BIJ,15,9)*INDEX(SIE,9)*INDEX(TIJ,9,2)+INDEX(BIJ,15,10)*INDEX(SIE,10)*INDEX(TIJ,10,2)+INDEX(BIJ,15,11)*INDEX(SIE,11)*INDEX(TIJ,11,2)+INDEX(BIJ,15,12)*INDEX(SIE,12)*INDEX(TIJ,12,2)+INDEX(BIJ,15,13)*INDEX(SIE,13)*INDEX(TIJ,13,2)+INDEX(BIJ,15,14)*INDEX(SIE,14)*INDEX(TIJ,14,2))/(INDEX(SIE,15)-INDEX(SIE,2))</f>
        <v>-2364.7552133758877</v>
      </c>
      <c r="D74" s="91">
        <f>(INDEX(BIJ,15,3)*INDEX(SIE,3)*INDEX(TIJ,3,3)+INDEX(BIJ,15,4)*INDEX(SIE,4)*INDEX(TIJ,4,3)+INDEX(BIJ,15,5)*INDEX(SIE,5)*INDEX(TIJ,5,3)+INDEX(BIJ,15,6)*INDEX(SIE,6)*INDEX(TIJ,6,3)+INDEX(BIJ,15,7)*INDEX(SIE,7)*INDEX(TIJ,7,3)+INDEX(BIJ,15,8)*INDEX(SIE,8)*INDEX(TIJ,8,3)+INDEX(BIJ,15,9)*INDEX(SIE,9)*INDEX(TIJ,9,3)+INDEX(BIJ,15,10)*INDEX(SIE,10)*INDEX(TIJ,10,3)+INDEX(BIJ,15,11)*INDEX(SIE,11)*INDEX(TIJ,11,3)+INDEX(BIJ,15,12)*INDEX(SIE,12)*INDEX(TIJ,12,3)+INDEX(BIJ,15,13)*INDEX(SIE,13)*INDEX(TIJ,13,3)+INDEX(BIJ,15,14)*INDEX(SIE,14)*INDEX(TIJ,14,3))/(INDEX(SIE,15)-INDEX(SIE,3))</f>
        <v>179.66517122960622</v>
      </c>
      <c r="E74" s="91">
        <f>(INDEX(BIJ,15,4)*INDEX(SIE,4)*INDEX(TIJ,4,4)+INDEX(BIJ,15,5)*INDEX(SIE,5)*INDEX(TIJ,5,4)+INDEX(BIJ,15,6)*INDEX(SIE,6)*INDEX(TIJ,6,4)+INDEX(BIJ,15,7)*INDEX(SIE,7)*INDEX(TIJ,7,4)+INDEX(BIJ,15,8)*INDEX(SIE,8)*INDEX(TIJ,8,4)+INDEX(BIJ,15,9)*INDEX(SIE,9)*INDEX(TIJ,9,4)+INDEX(BIJ,15,10)*INDEX(SIE,10)*INDEX(TIJ,10,4)+INDEX(BIJ,15,11)*INDEX(SIE,11)*INDEX(TIJ,11,4)+INDEX(BIJ,15,12)*INDEX(SIE,12)*INDEX(TIJ,12,4)+INDEX(BIJ,15,13)*INDEX(SIE,13)*INDEX(TIJ,13,4)+INDEX(BIJ,15,14)*INDEX(SIE,14)*INDEX(TIJ,14,4))/(INDEX(SIE,15)-INDEX(SIE,4))</f>
        <v>0.8795636460595322</v>
      </c>
      <c r="F74" s="91">
        <f>(INDEX(BIJ,15,5)*INDEX(SIE,5)*INDEX(TIJ,5,5)+INDEX(BIJ,15,6)*INDEX(SIE,6)*INDEX(TIJ,6,5)+INDEX(BIJ,15,7)*INDEX(SIE,7)*INDEX(TIJ,7,5)+INDEX(BIJ,15,8)*INDEX(SIE,8)*INDEX(TIJ,8,5)+INDEX(BIJ,15,9)*INDEX(SIE,9)*INDEX(TIJ,9,5)+INDEX(BIJ,15,10)*INDEX(SIE,10)*INDEX(TIJ,10,5)+INDEX(BIJ,15,11)*INDEX(SIE,11)*INDEX(TIJ,11,5)+INDEX(BIJ,15,12)*INDEX(SIE,12)*INDEX(TIJ,12,5)+INDEX(BIJ,15,13)*INDEX(SIE,13)*INDEX(TIJ,13,5)+INDEX(BIJ,15,14)*INDEX(SIE,14)*INDEX(TIJ,14,5))/(INDEX(SIE,15)-INDEX(SIE,5))</f>
        <v>0.05189067710377885</v>
      </c>
      <c r="G74" s="91">
        <f>(INDEX(BIJ,15,6)*INDEX(SIE,6)*INDEX(TIJ,6,6)+INDEX(BIJ,15,7)*INDEX(SIE,7)*INDEX(TIJ,7,6)+INDEX(BIJ,15,8)*INDEX(SIE,8)*INDEX(TIJ,8,6)+INDEX(BIJ,15,9)*INDEX(SIE,9)*INDEX(TIJ,9,6)+INDEX(BIJ,15,10)*INDEX(SIE,10)*INDEX(TIJ,10,6)+INDEX(BIJ,15,11)*INDEX(SIE,11)*INDEX(TIJ,11,6)+INDEX(BIJ,15,12)*INDEX(SIE,12)*INDEX(TIJ,12,6)+INDEX(BIJ,15,13)*INDEX(SIE,13)*INDEX(TIJ,13,6)+INDEX(BIJ,15,14)*INDEX(SIE,14)*INDEX(TIJ,14,6))/(INDEX(SIE,15)-INDEX(SIE,6))</f>
        <v>0.0012737119707871328</v>
      </c>
      <c r="H74" s="91">
        <f>(INDEX(BIJ,15,7)*INDEX(SIE,7)*INDEX(TIJ,7,7)+INDEX(BIJ,15,8)*INDEX(SIE,8)*INDEX(TIJ,8,7)+INDEX(BIJ,15,9)*INDEX(SIE,9)*INDEX(TIJ,9,7)+INDEX(BIJ,15,10)*INDEX(SIE,10)*INDEX(TIJ,10,7)+INDEX(BIJ,15,11)*INDEX(SIE,11)*INDEX(TIJ,11,7)+INDEX(BIJ,15,12)*INDEX(SIE,12)*INDEX(TIJ,12,7)+INDEX(BIJ,15,13)*INDEX(SIE,13)*INDEX(TIJ,13,7)+INDEX(BIJ,15,14)*INDEX(SIE,14)*INDEX(TIJ,14,7))/(INDEX(SIE,15)-INDEX(SIE,7))</f>
        <v>-0.00039409597875998003</v>
      </c>
      <c r="I74" s="91">
        <f>(INDEX(BIJ,15,8)*INDEX(SIE,8)*INDEX(TIJ,8,8)+INDEX(BIJ,15,9)*INDEX(SIE,9)*INDEX(TIJ,9,8)+INDEX(BIJ,15,10)*INDEX(SIE,10)*INDEX(TIJ,10,8)+INDEX(BIJ,15,11)*INDEX(SIE,11)*INDEX(TIJ,11,8)+INDEX(BIJ,15,12)*INDEX(SIE,12)*INDEX(TIJ,12,8)+INDEX(BIJ,15,13)*INDEX(SIE,13)*INDEX(TIJ,13,8)+INDEX(BIJ,15,14)*INDEX(SIE,14)*INDEX(TIJ,14,8))/(INDEX(SIE,15)-INDEX(SIE,8))</f>
        <v>0.0007211259913036643</v>
      </c>
      <c r="J74" s="91">
        <f>(INDEX(BIJ,15,9)*INDEX(SIE,9)*INDEX(TIJ,9,9)+INDEX(BIJ,15,10)*INDEX(SIE,10)*INDEX(TIJ,10,9)+INDEX(BIJ,15,11)*INDEX(SIE,11)*INDEX(TIJ,11,9)+INDEX(BIJ,15,12)*INDEX(SIE,12)*INDEX(TIJ,12,9)+INDEX(BIJ,15,13)*INDEX(SIE,13)*INDEX(TIJ,13,9)+INDEX(BIJ,15,14)*INDEX(SIE,14)*INDEX(TIJ,14,9))/(INDEX(SIE,15)-INDEX(SIE,9))</f>
        <v>0.0064842970213351845</v>
      </c>
      <c r="K74" s="91">
        <f>(INDEX(BIJ,15,10)*INDEX(SIE,10)*INDEX(TIJ,10,10)+INDEX(BIJ,15,11)*INDEX(SIE,11)*INDEX(TIJ,11,10)+INDEX(BIJ,15,12)*INDEX(SIE,12)*INDEX(TIJ,12,10)+INDEX(BIJ,15,13)*INDEX(SIE,13)*INDEX(TIJ,13,10)+INDEX(BIJ,15,14)*INDEX(SIE,14)*INDEX(TIJ,14,10))/(INDEX(SIE,15)-INDEX(SIE,10))</f>
        <v>-0.1275643211735221</v>
      </c>
      <c r="L74" s="91">
        <f>(INDEX(BIJ,15,11)*INDEX(SIE,11)*INDEX(TIJ,11,11)+INDEX(BIJ,15,12)*INDEX(SIE,12)*INDEX(TIJ,12,11)+INDEX(BIJ,15,13)*INDEX(SIE,13)*INDEX(TIJ,13,11)+INDEX(BIJ,15,14)*INDEX(SIE,14)*INDEX(TIJ,14,11))/(INDEX(SIE,15)-INDEX(SIE,11))</f>
        <v>0.7302541793414887</v>
      </c>
      <c r="M74" s="91">
        <f>(INDEX(BIJ,15,12)*INDEX(SIE,12)*INDEX(TIJ,12,12)+INDEX(BIJ,15,13)*INDEX(SIE,13)*INDEX(TIJ,13,12)+INDEX(BIJ,15,14)*INDEX(SIE,14)*INDEX(TIJ,14,12))/(INDEX(SIE,15)-INDEX(SIE,12))</f>
        <v>-2.266649299984481</v>
      </c>
      <c r="N74" s="91">
        <f>(INDEX(BIJ,15,13)*INDEX(SIE,13)*INDEX(TIJ,13,13)+INDEX(BIJ,15,14)*INDEX(SIE,14)*INDEX(TIJ,14,13))/(INDEX(SIE,15)-INDEX(SIE,13))</f>
        <v>3.6858017654956305</v>
      </c>
      <c r="O74" s="91">
        <f>(INDEX(BIJ,15,14)*INDEX(SIE,14)*INDEX(TIJ,14,14))/(INDEX(SIE,15)-INDEX(SIE,14))</f>
        <v>-3.0564259773652025</v>
      </c>
      <c r="P74" s="91">
        <v>1</v>
      </c>
      <c r="Q74" s="91">
        <v>0</v>
      </c>
      <c r="R74" s="91">
        <v>0</v>
      </c>
      <c r="S74" s="91">
        <v>0</v>
      </c>
      <c r="T74" s="91">
        <v>0</v>
      </c>
      <c r="U74" s="91">
        <v>0</v>
      </c>
      <c r="W74" s="93">
        <f t="shared" si="40"/>
        <v>15</v>
      </c>
      <c r="X74" s="91">
        <f>Model!$E23</f>
        <v>0.26673377846719976</v>
      </c>
    </row>
    <row r="75" spans="1:24" ht="12.75">
      <c r="A75" s="93">
        <f t="shared" si="39"/>
        <v>16</v>
      </c>
      <c r="B75" s="91">
        <f>(INDEX(BIJ,16,1)*INDEX(SIE,1)*INDEX(TIJ,1,1)+INDEX(BIJ,16,2)*INDEX(SIE,2)*INDEX(TIJ,2,1)+INDEX(BIJ,16,3)*INDEX(SIE,3)*INDEX(TIJ,3,1)+INDEX(BIJ,16,4)*INDEX(SIE,4)*INDEX(TIJ,4,1)+INDEX(BIJ,16,5)*INDEX(SIE,5)*INDEX(TIJ,5,1)+INDEX(BIJ,16,6)*INDEX(SIE,6)*INDEX(TIJ,6,1)+INDEX(BIJ,16,7)*INDEX(SIE,7)*INDEX(TIJ,7,1)+INDEX(BIJ,16,8)*INDEX(SIE,8)*INDEX(TIJ,8,1)+INDEX(BIJ,16,9)*INDEX(SIE,9)*INDEX(TIJ,9,1)+INDEX(BIJ,16,10)*INDEX(SIE,10)*INDEX(TIJ,10,1)+INDEX(BIJ,16,11)*INDEX(SIE,11)*INDEX(TIJ,11,1)+INDEX(BIJ,16,12)*INDEX(SIE,12)*INDEX(TIJ,12,1)+INDEX(BIJ,16,13)*INDEX(SIE,13)*INDEX(TIJ,13,1)+INDEX(BIJ,16,14)*INDEX(SIE,14)*INDEX(TIJ,14,1)+INDEX(BIJ,16,15)*INDEX(SIE,15)*INDEX(TIJ,15,1))/(INDEX(SIE,16)-INDEX(SIE,1))</f>
        <v>2685.1519621141238</v>
      </c>
      <c r="C75" s="91">
        <f>(INDEX(BIJ,16,2)*INDEX(SIE,2)*INDEX(TIJ,2,2)+INDEX(BIJ,16,3)*INDEX(SIE,3)*INDEX(TIJ,3,2)+INDEX(BIJ,16,4)*INDEX(SIE,4)*INDEX(TIJ,4,2)+INDEX(BIJ,16,5)*INDEX(SIE,5)*INDEX(TIJ,5,2)+INDEX(BIJ,16,6)*INDEX(SIE,6)*INDEX(TIJ,6,2)+INDEX(BIJ,16,7)*INDEX(SIE,7)*INDEX(TIJ,7,2)+INDEX(BIJ,16,8)*INDEX(SIE,8)*INDEX(TIJ,8,2)+INDEX(BIJ,16,9)*INDEX(SIE,9)*INDEX(TIJ,9,2)+INDEX(BIJ,16,10)*INDEX(SIE,10)*INDEX(TIJ,10,2)+INDEX(BIJ,16,11)*INDEX(SIE,11)*INDEX(TIJ,11,2)+INDEX(BIJ,16,12)*INDEX(SIE,12)*INDEX(TIJ,12,2)+INDEX(BIJ,16,13)*INDEX(SIE,13)*INDEX(TIJ,13,2)+INDEX(BIJ,16,14)*INDEX(SIE,14)*INDEX(TIJ,14,2)+INDEX(BIJ,16,15)*INDEX(SIE,15)*INDEX(TIJ,15,2))/(INDEX(SIE,16)-INDEX(SIE,2))</f>
        <v>856.6170003597176</v>
      </c>
      <c r="D75" s="91">
        <f>(INDEX(BIJ,16,3)*INDEX(SIE,3)*INDEX(TIJ,3,3)+INDEX(BIJ,16,4)*INDEX(SIE,4)*INDEX(TIJ,4,3)+INDEX(BIJ,16,5)*INDEX(SIE,5)*INDEX(TIJ,5,3)+INDEX(BIJ,16,6)*INDEX(SIE,6)*INDEX(TIJ,6,3)+INDEX(BIJ,16,7)*INDEX(SIE,7)*INDEX(TIJ,7,3)+INDEX(BIJ,16,8)*INDEX(SIE,8)*INDEX(TIJ,8,3)+INDEX(BIJ,16,9)*INDEX(SIE,9)*INDEX(TIJ,9,3)+INDEX(BIJ,16,10)*INDEX(SIE,10)*INDEX(TIJ,10,3)+INDEX(BIJ,16,11)*INDEX(SIE,11)*INDEX(TIJ,11,3)+INDEX(BIJ,16,12)*INDEX(SIE,12)*INDEX(TIJ,12,3)+INDEX(BIJ,16,13)*INDEX(SIE,13)*INDEX(TIJ,13,3)+INDEX(BIJ,16,14)*INDEX(SIE,14)*INDEX(TIJ,14,3)+INDEX(BIJ,16,15)*INDEX(SIE,15)*INDEX(TIJ,15,3))/(INDEX(SIE,16)-INDEX(SIE,3))</f>
        <v>-5.658791645965684</v>
      </c>
      <c r="E75" s="91">
        <f>(INDEX(BIJ,16,4)*INDEX(SIE,4)*INDEX(TIJ,4,4)+INDEX(BIJ,16,5)*INDEX(SIE,5)*INDEX(TIJ,5,4)+INDEX(BIJ,16,6)*INDEX(SIE,6)*INDEX(TIJ,6,4)+INDEX(BIJ,16,7)*INDEX(SIE,7)*INDEX(TIJ,7,4)+INDEX(BIJ,16,8)*INDEX(SIE,8)*INDEX(TIJ,8,4)+INDEX(BIJ,16,9)*INDEX(SIE,9)*INDEX(TIJ,9,4)+INDEX(BIJ,16,10)*INDEX(SIE,10)*INDEX(TIJ,10,4)+INDEX(BIJ,16,11)*INDEX(SIE,11)*INDEX(TIJ,11,4)+INDEX(BIJ,16,12)*INDEX(SIE,12)*INDEX(TIJ,12,4)+INDEX(BIJ,16,13)*INDEX(SIE,13)*INDEX(TIJ,13,4)+INDEX(BIJ,16,14)*INDEX(SIE,14)*INDEX(TIJ,14,4)+INDEX(BIJ,16,15)*INDEX(SIE,15)*INDEX(TIJ,15,4))/(INDEX(SIE,16)-INDEX(SIE,4))</f>
        <v>0.5670416501158029</v>
      </c>
      <c r="F75" s="91">
        <f>(INDEX(BIJ,16,5)*INDEX(SIE,5)*INDEX(TIJ,5,5)+INDEX(BIJ,16,6)*INDEX(SIE,6)*INDEX(TIJ,6,5)+INDEX(BIJ,16,7)*INDEX(SIE,7)*INDEX(TIJ,7,5)+INDEX(BIJ,16,8)*INDEX(SIE,8)*INDEX(TIJ,8,5)+INDEX(BIJ,16,9)*INDEX(SIE,9)*INDEX(TIJ,9,5)+INDEX(BIJ,16,10)*INDEX(SIE,10)*INDEX(TIJ,10,5)+INDEX(BIJ,16,11)*INDEX(SIE,11)*INDEX(TIJ,11,5)+INDEX(BIJ,16,12)*INDEX(SIE,12)*INDEX(TIJ,12,5)+INDEX(BIJ,16,13)*INDEX(SIE,13)*INDEX(TIJ,13,5)+INDEX(BIJ,16,14)*INDEX(SIE,14)*INDEX(TIJ,14,5)+INDEX(BIJ,16,15)*INDEX(SIE,15)*INDEX(TIJ,15,5))/(INDEX(SIE,16)-INDEX(SIE,5))</f>
        <v>0.05013452040523329</v>
      </c>
      <c r="G75" s="91">
        <f>(INDEX(BIJ,16,6)*INDEX(SIE,6)*INDEX(TIJ,6,6)+INDEX(BIJ,16,7)*INDEX(SIE,7)*INDEX(TIJ,7,6)+INDEX(BIJ,16,8)*INDEX(SIE,8)*INDEX(TIJ,8,6)+INDEX(BIJ,16,9)*INDEX(SIE,9)*INDEX(TIJ,9,6)+INDEX(BIJ,16,10)*INDEX(SIE,10)*INDEX(TIJ,10,6)+INDEX(BIJ,16,11)*INDEX(SIE,11)*INDEX(TIJ,11,6)+INDEX(BIJ,16,12)*INDEX(SIE,12)*INDEX(TIJ,12,6)+INDEX(BIJ,16,13)*INDEX(SIE,13)*INDEX(TIJ,13,6)+INDEX(BIJ,16,14)*INDEX(SIE,14)*INDEX(TIJ,14,6)+INDEX(BIJ,16,15)*INDEX(SIE,15)*INDEX(TIJ,15,6))/(INDEX(SIE,16)-INDEX(SIE,6))</f>
        <v>0.0012356457250695385</v>
      </c>
      <c r="H75" s="91">
        <f>(INDEX(BIJ,16,7)*INDEX(SIE,7)*INDEX(TIJ,7,7)+INDEX(BIJ,16,8)*INDEX(SIE,8)*INDEX(TIJ,8,7)+INDEX(BIJ,16,9)*INDEX(SIE,9)*INDEX(TIJ,9,7)+INDEX(BIJ,16,10)*INDEX(SIE,10)*INDEX(TIJ,10,7)+INDEX(BIJ,16,11)*INDEX(SIE,11)*INDEX(TIJ,11,7)+INDEX(BIJ,16,12)*INDEX(SIE,12)*INDEX(TIJ,12,7)+INDEX(BIJ,16,13)*INDEX(SIE,13)*INDEX(TIJ,13,7)+INDEX(BIJ,16,14)*INDEX(SIE,14)*INDEX(TIJ,14,7)+INDEX(BIJ,16,15)*INDEX(SIE,15)*INDEX(TIJ,15,7))/(INDEX(SIE,16)-INDEX(SIE,7))</f>
        <v>-0.00035836262453096805</v>
      </c>
      <c r="I75" s="91">
        <f>(INDEX(BIJ,16,8)*INDEX(SIE,8)*INDEX(TIJ,8,8)+INDEX(BIJ,16,9)*INDEX(SIE,9)*INDEX(TIJ,9,8)+INDEX(BIJ,16,10)*INDEX(SIE,10)*INDEX(TIJ,10,8)+INDEX(BIJ,16,11)*INDEX(SIE,11)*INDEX(TIJ,11,8)+INDEX(BIJ,16,12)*INDEX(SIE,12)*INDEX(TIJ,12,8)+INDEX(BIJ,16,13)*INDEX(SIE,13)*INDEX(TIJ,13,8)+INDEX(BIJ,16,14)*INDEX(SIE,14)*INDEX(TIJ,14,8)+INDEX(BIJ,16,15)*INDEX(SIE,15)*INDEX(TIJ,15,8))/(INDEX(SIE,16)-INDEX(SIE,8))</f>
        <v>0.0004480846439616359</v>
      </c>
      <c r="J75" s="91">
        <f>(INDEX(BIJ,16,9)*INDEX(SIE,9)*INDEX(TIJ,9,9)+INDEX(BIJ,16,10)*INDEX(SIE,10)*INDEX(TIJ,10,9)+INDEX(BIJ,16,11)*INDEX(SIE,11)*INDEX(TIJ,11,9)+INDEX(BIJ,16,12)*INDEX(SIE,12)*INDEX(TIJ,12,9)+INDEX(BIJ,16,13)*INDEX(SIE,13)*INDEX(TIJ,13,9)+INDEX(BIJ,16,14)*INDEX(SIE,14)*INDEX(TIJ,14,9)+INDEX(BIJ,16,15)*INDEX(SIE,15)*INDEX(TIJ,15,9))/(INDEX(SIE,16)-INDEX(SIE,9))</f>
        <v>-8.375791647023873E-05</v>
      </c>
      <c r="K75" s="91">
        <f>(INDEX(BIJ,16,10)*INDEX(SIE,10)*INDEX(TIJ,10,10)+INDEX(BIJ,16,11)*INDEX(SIE,11)*INDEX(TIJ,11,10)+INDEX(BIJ,16,12)*INDEX(SIE,12)*INDEX(TIJ,12,10)+INDEX(BIJ,16,13)*INDEX(SIE,13)*INDEX(TIJ,13,10)+INDEX(BIJ,16,14)*INDEX(SIE,14)*INDEX(TIJ,14,10)+INDEX(BIJ,16,15)*INDEX(SIE,15)*INDEX(TIJ,15,10))/(INDEX(SIE,16)-INDEX(SIE,10))</f>
        <v>0.005292183394737539</v>
      </c>
      <c r="L75" s="91">
        <f>(INDEX(BIJ,16,11)*INDEX(SIE,11)*INDEX(TIJ,11,11)+INDEX(BIJ,16,12)*INDEX(SIE,12)*INDEX(TIJ,12,11)+INDEX(BIJ,16,13)*INDEX(SIE,13)*INDEX(TIJ,13,11)+INDEX(BIJ,16,14)*INDEX(SIE,14)*INDEX(TIJ,14,11)+INDEX(BIJ,16,15)*INDEX(SIE,15)*INDEX(TIJ,15,11))/(INDEX(SIE,16)-INDEX(SIE,11))</f>
        <v>-0.10658660268153347</v>
      </c>
      <c r="M75" s="91">
        <f>(INDEX(BIJ,16,12)*INDEX(SIE,12)*INDEX(TIJ,12,12)+INDEX(BIJ,16,13)*INDEX(SIE,13)*INDEX(TIJ,13,12)+INDEX(BIJ,16,14)*INDEX(SIE,14)*INDEX(TIJ,14,12)+INDEX(BIJ,16,15)*INDEX(SIE,15)*INDEX(TIJ,15,12))/(INDEX(SIE,16)-INDEX(SIE,12))</f>
        <v>0.711234219407943</v>
      </c>
      <c r="N75" s="91">
        <f>(INDEX(BIJ,16,13)*INDEX(SIE,13)*INDEX(TIJ,13,13)+INDEX(BIJ,16,14)*INDEX(SIE,14)*INDEX(TIJ,14,13)+INDEX(BIJ,16,15)*INDEX(SIE,15)*INDEX(TIJ,15,13))/(INDEX(SIE,16)-INDEX(SIE,13))</f>
        <v>-2.2321085964964134</v>
      </c>
      <c r="O75" s="91">
        <f>(INDEX(BIJ,16,14)*INDEX(SIE,14)*INDEX(TIJ,14,14)+INDEX(BIJ,16,15)*INDEX(SIE,15)*INDEX(TIJ,15,14))/(INDEX(SIE,16)-INDEX(SIE,14))</f>
        <v>3.696582327626331</v>
      </c>
      <c r="P75" s="91">
        <f>(INDEX(BIJ,16,15)*INDEX(SIE,15)*INDEX(TIJ,15,15))/(INDEX(SIE,16)-INDEX(SIE,15))</f>
        <v>-3.0604592104794954</v>
      </c>
      <c r="Q75" s="91">
        <v>1</v>
      </c>
      <c r="R75" s="91">
        <v>0</v>
      </c>
      <c r="S75" s="91">
        <v>0</v>
      </c>
      <c r="T75" s="91">
        <v>0</v>
      </c>
      <c r="U75" s="91">
        <v>0</v>
      </c>
      <c r="W75" s="93">
        <f t="shared" si="40"/>
        <v>16</v>
      </c>
      <c r="X75" s="91">
        <f>Model!$E24</f>
        <v>0.21294834101454668</v>
      </c>
    </row>
    <row r="76" spans="1:24" ht="12.75">
      <c r="A76" s="93">
        <f t="shared" si="39"/>
        <v>17</v>
      </c>
      <c r="B76" s="91">
        <f>(INDEX(BIJ,17,1)*INDEX(SIE,1)*INDEX(TIJ,1,1)+INDEX(BIJ,17,2)*INDEX(SIE,2)*INDEX(TIJ,2,1)+INDEX(BIJ,17,3)*INDEX(SIE,3)*INDEX(TIJ,3,1)+INDEX(BIJ,17,4)*INDEX(SIE,4)*INDEX(TIJ,4,1)+INDEX(BIJ,17,5)*INDEX(SIE,5)*INDEX(TIJ,5,1)+INDEX(BIJ,17,6)*INDEX(SIE,6)*INDEX(TIJ,6,1)+INDEX(BIJ,17,7)*INDEX(SIE,7)*INDEX(TIJ,7,1)+INDEX(BIJ,17,8)*INDEX(SIE,8)*INDEX(TIJ,8,1)+INDEX(BIJ,17,9)*INDEX(SIE,9)*INDEX(TIJ,9,1)+INDEX(BIJ,17,10)*INDEX(SIE,10)*INDEX(TIJ,10,1)+INDEX(BIJ,17,11)*INDEX(SIE,11)*INDEX(TIJ,11,1)+INDEX(BIJ,17,12)*INDEX(SIE,12)*INDEX(TIJ,12,1)+INDEX(BIJ,17,13)*INDEX(SIE,13)*INDEX(TIJ,13,1)+INDEX(BIJ,17,14)*INDEX(SIE,14)*INDEX(TIJ,14,1)+INDEX(BIJ,17,15)*INDEX(SIE,15)*INDEX(TIJ,15,1)+INDEX(BIJ,17,16)*INDEX(SIE,16)*INDEX(TIJ,16,1))/(INDEX(SIE,17)-INDEX(SIE,1))</f>
        <v>-2777.3080592948695</v>
      </c>
      <c r="C76" s="91">
        <f>(INDEX(BIJ,17,2)*INDEX(SIE,2)*INDEX(TIJ,2,2)+INDEX(BIJ,17,3)*INDEX(SIE,3)*INDEX(TIJ,3,2)+INDEX(BIJ,17,4)*INDEX(SIE,4)*INDEX(TIJ,4,2)+INDEX(BIJ,17,5)*INDEX(SIE,5)*INDEX(TIJ,5,2)+INDEX(BIJ,17,6)*INDEX(SIE,6)*INDEX(TIJ,6,2)+INDEX(BIJ,17,7)*INDEX(SIE,7)*INDEX(TIJ,7,2)+INDEX(BIJ,17,8)*INDEX(SIE,8)*INDEX(TIJ,8,2)+INDEX(BIJ,17,9)*INDEX(SIE,9)*INDEX(TIJ,9,2)+INDEX(BIJ,17,10)*INDEX(SIE,10)*INDEX(TIJ,10,2)+INDEX(BIJ,17,11)*INDEX(SIE,11)*INDEX(TIJ,11,2)+INDEX(BIJ,17,12)*INDEX(SIE,12)*INDEX(TIJ,12,2)+INDEX(BIJ,17,13)*INDEX(SIE,13)*INDEX(TIJ,13,2)+INDEX(BIJ,17,14)*INDEX(SIE,14)*INDEX(TIJ,14,2)+INDEX(BIJ,17,15)*INDEX(SIE,15)*INDEX(TIJ,15,2)+INDEX(BIJ,17,16)*INDEX(SIE,16)*INDEX(TIJ,16,2))/(INDEX(SIE,17)-INDEX(SIE,2))</f>
        <v>-149.97725723722706</v>
      </c>
      <c r="D76" s="91">
        <f>(INDEX(BIJ,17,3)*INDEX(SIE,3)*INDEX(TIJ,3,3)+INDEX(BIJ,17,4)*INDEX(SIE,4)*INDEX(TIJ,4,3)+INDEX(BIJ,17,5)*INDEX(SIE,5)*INDEX(TIJ,5,3)+INDEX(BIJ,17,6)*INDEX(SIE,6)*INDEX(TIJ,6,3)+INDEX(BIJ,17,7)*INDEX(SIE,7)*INDEX(TIJ,7,3)+INDEX(BIJ,17,8)*INDEX(SIE,8)*INDEX(TIJ,8,3)+INDEX(BIJ,17,9)*INDEX(SIE,9)*INDEX(TIJ,9,3)+INDEX(BIJ,17,10)*INDEX(SIE,10)*INDEX(TIJ,10,3)+INDEX(BIJ,17,11)*INDEX(SIE,11)*INDEX(TIJ,11,3)+INDEX(BIJ,17,12)*INDEX(SIE,12)*INDEX(TIJ,12,3)+INDEX(BIJ,17,13)*INDEX(SIE,13)*INDEX(TIJ,13,3)+INDEX(BIJ,17,14)*INDEX(SIE,14)*INDEX(TIJ,14,3)+INDEX(BIJ,17,15)*INDEX(SIE,15)*INDEX(TIJ,15,3)+INDEX(BIJ,17,16)*INDEX(SIE,16)*INDEX(TIJ,16,3))/(INDEX(SIE,17)-INDEX(SIE,3))</f>
        <v>-0.22719280126651673</v>
      </c>
      <c r="E76" s="91">
        <f>(INDEX(BIJ,17,4)*INDEX(SIE,4)*INDEX(TIJ,4,4)+INDEX(BIJ,17,5)*INDEX(SIE,5)*INDEX(TIJ,5,4)+INDEX(BIJ,17,6)*INDEX(SIE,6)*INDEX(TIJ,6,4)+INDEX(BIJ,17,7)*INDEX(SIE,7)*INDEX(TIJ,7,4)+INDEX(BIJ,17,8)*INDEX(SIE,8)*INDEX(TIJ,8,4)+INDEX(BIJ,17,9)*INDEX(SIE,9)*INDEX(TIJ,9,4)+INDEX(BIJ,17,10)*INDEX(SIE,10)*INDEX(TIJ,10,4)+INDEX(BIJ,17,11)*INDEX(SIE,11)*INDEX(TIJ,11,4)+INDEX(BIJ,17,12)*INDEX(SIE,12)*INDEX(TIJ,12,4)+INDEX(BIJ,17,13)*INDEX(SIE,13)*INDEX(TIJ,13,4)+INDEX(BIJ,17,14)*INDEX(SIE,14)*INDEX(TIJ,14,4)+INDEX(BIJ,17,15)*INDEX(SIE,15)*INDEX(TIJ,15,4)+INDEX(BIJ,17,16)*INDEX(SIE,16)*INDEX(TIJ,16,4))/(INDEX(SIE,17)-INDEX(SIE,4))</f>
        <v>0.5032528073732387</v>
      </c>
      <c r="F76" s="91">
        <f>(INDEX(BIJ,17,5)*INDEX(SIE,5)*INDEX(TIJ,5,5)+INDEX(BIJ,17,6)*INDEX(SIE,6)*INDEX(TIJ,6,5)+INDEX(BIJ,17,7)*INDEX(SIE,7)*INDEX(TIJ,7,5)+INDEX(BIJ,17,8)*INDEX(SIE,8)*INDEX(TIJ,8,5)+INDEX(BIJ,17,9)*INDEX(SIE,9)*INDEX(TIJ,9,5)+INDEX(BIJ,17,10)*INDEX(SIE,10)*INDEX(TIJ,10,5)+INDEX(BIJ,17,11)*INDEX(SIE,11)*INDEX(TIJ,11,5)+INDEX(BIJ,17,12)*INDEX(SIE,12)*INDEX(TIJ,12,5)+INDEX(BIJ,17,13)*INDEX(SIE,13)*INDEX(TIJ,13,5)+INDEX(BIJ,17,14)*INDEX(SIE,14)*INDEX(TIJ,14,5)+INDEX(BIJ,17,15)*INDEX(SIE,15)*INDEX(TIJ,15,5)+INDEX(BIJ,17,16)*INDEX(SIE,16)*INDEX(TIJ,16,5))/(INDEX(SIE,17)-INDEX(SIE,5))</f>
        <v>0.046193332449438955</v>
      </c>
      <c r="G76" s="91">
        <f>(INDEX(BIJ,17,6)*INDEX(SIE,6)*INDEX(TIJ,6,6)+INDEX(BIJ,17,7)*INDEX(SIE,7)*INDEX(TIJ,7,6)+INDEX(BIJ,17,8)*INDEX(SIE,8)*INDEX(TIJ,8,6)+INDEX(BIJ,17,9)*INDEX(SIE,9)*INDEX(TIJ,9,6)+INDEX(BIJ,17,10)*INDEX(SIE,10)*INDEX(TIJ,10,6)+INDEX(BIJ,17,11)*INDEX(SIE,11)*INDEX(TIJ,11,6)+INDEX(BIJ,17,12)*INDEX(SIE,12)*INDEX(TIJ,12,6)+INDEX(BIJ,17,13)*INDEX(SIE,13)*INDEX(TIJ,13,6)+INDEX(BIJ,17,14)*INDEX(SIE,14)*INDEX(TIJ,14,6)+INDEX(BIJ,17,15)*INDEX(SIE,15)*INDEX(TIJ,15,6)+INDEX(BIJ,17,16)*INDEX(SIE,16)*INDEX(TIJ,16,6))/(INDEX(SIE,17)-INDEX(SIE,6))</f>
        <v>0.0011393246570395883</v>
      </c>
      <c r="H76" s="91">
        <f>(INDEX(BIJ,17,7)*INDEX(SIE,7)*INDEX(TIJ,7,7)+INDEX(BIJ,17,8)*INDEX(SIE,8)*INDEX(TIJ,8,7)+INDEX(BIJ,17,9)*INDEX(SIE,9)*INDEX(TIJ,9,7)+INDEX(BIJ,17,10)*INDEX(SIE,10)*INDEX(TIJ,10,7)+INDEX(BIJ,17,11)*INDEX(SIE,11)*INDEX(TIJ,11,7)+INDEX(BIJ,17,12)*INDEX(SIE,12)*INDEX(TIJ,12,7)+INDEX(BIJ,17,13)*INDEX(SIE,13)*INDEX(TIJ,13,7)+INDEX(BIJ,17,14)*INDEX(SIE,14)*INDEX(TIJ,14,7)+INDEX(BIJ,17,15)*INDEX(SIE,15)*INDEX(TIJ,15,7)+INDEX(BIJ,17,16)*INDEX(SIE,16)*INDEX(TIJ,16,7))/(INDEX(SIE,17)-INDEX(SIE,7))</f>
        <v>-0.00032792758332901643</v>
      </c>
      <c r="I76" s="91">
        <f>(INDEX(BIJ,17,8)*INDEX(SIE,8)*INDEX(TIJ,8,8)+INDEX(BIJ,17,9)*INDEX(SIE,9)*INDEX(TIJ,9,8)+INDEX(BIJ,17,10)*INDEX(SIE,10)*INDEX(TIJ,10,8)+INDEX(BIJ,17,11)*INDEX(SIE,11)*INDEX(TIJ,11,8)+INDEX(BIJ,17,12)*INDEX(SIE,12)*INDEX(TIJ,12,8)+INDEX(BIJ,17,13)*INDEX(SIE,13)*INDEX(TIJ,13,8)+INDEX(BIJ,17,14)*INDEX(SIE,14)*INDEX(TIJ,14,8)+INDEX(BIJ,17,15)*INDEX(SIE,15)*INDEX(TIJ,15,8)+INDEX(BIJ,17,16)*INDEX(SIE,16)*INDEX(TIJ,16,8))/(INDEX(SIE,17)-INDEX(SIE,8))</f>
        <v>0.0003948707814626414</v>
      </c>
      <c r="J76" s="91">
        <f>(INDEX(BIJ,17,9)*INDEX(SIE,9)*INDEX(TIJ,9,9)+INDEX(BIJ,17,10)*INDEX(SIE,10)*INDEX(TIJ,10,9)+INDEX(BIJ,17,11)*INDEX(SIE,11)*INDEX(TIJ,11,9)+INDEX(BIJ,17,12)*INDEX(SIE,12)*INDEX(TIJ,12,9)+INDEX(BIJ,17,13)*INDEX(SIE,13)*INDEX(TIJ,13,9)+INDEX(BIJ,17,14)*INDEX(SIE,14)*INDEX(TIJ,14,9)+INDEX(BIJ,17,15)*INDEX(SIE,15)*INDEX(TIJ,15,9)+INDEX(BIJ,17,16)*INDEX(SIE,16)*INDEX(TIJ,16,9))/(INDEX(SIE,17)-INDEX(SIE,9))</f>
        <v>-0.00024751935538662575</v>
      </c>
      <c r="K76" s="91">
        <f>(INDEX(BIJ,17,10)*INDEX(SIE,10)*INDEX(TIJ,10,10)+INDEX(BIJ,17,11)*INDEX(SIE,11)*INDEX(TIJ,11,10)+INDEX(BIJ,17,12)*INDEX(SIE,12)*INDEX(TIJ,12,10)+INDEX(BIJ,17,13)*INDEX(SIE,13)*INDEX(TIJ,13,10)+INDEX(BIJ,17,14)*INDEX(SIE,14)*INDEX(TIJ,14,10)+INDEX(BIJ,17,15)*INDEX(SIE,15)*INDEX(TIJ,15,10)+INDEX(BIJ,17,16)*INDEX(SIE,16)*INDEX(TIJ,16,10))/(INDEX(SIE,17)-INDEX(SIE,10))</f>
        <v>0.0001844523841655728</v>
      </c>
      <c r="L76" s="91">
        <f>(INDEX(BIJ,17,11)*INDEX(SIE,11)*INDEX(TIJ,11,11)+INDEX(BIJ,17,12)*INDEX(SIE,12)*INDEX(TIJ,12,11)+INDEX(BIJ,17,13)*INDEX(SIE,13)*INDEX(TIJ,13,11)+INDEX(BIJ,17,14)*INDEX(SIE,14)*INDEX(TIJ,14,11)+INDEX(BIJ,17,15)*INDEX(SIE,15)*INDEX(TIJ,15,11)+INDEX(BIJ,17,16)*INDEX(SIE,16)*INDEX(TIJ,16,11))/(INDEX(SIE,17)-INDEX(SIE,11))</f>
        <v>0.003946523933234643</v>
      </c>
      <c r="M76" s="91">
        <f>(INDEX(BIJ,17,12)*INDEX(SIE,12)*INDEX(TIJ,12,12)+INDEX(BIJ,17,13)*INDEX(SIE,13)*INDEX(TIJ,13,12)+INDEX(BIJ,17,14)*INDEX(SIE,14)*INDEX(TIJ,14,12)+INDEX(BIJ,17,15)*INDEX(SIE,15)*INDEX(TIJ,15,12)+INDEX(BIJ,17,16)*INDEX(SIE,16)*INDEX(TIJ,16,12))/(INDEX(SIE,17)-INDEX(SIE,12))</f>
        <v>-0.10370451242271397</v>
      </c>
      <c r="N76" s="91">
        <f>(INDEX(BIJ,17,13)*INDEX(SIE,13)*INDEX(TIJ,13,13)+INDEX(BIJ,17,14)*INDEX(SIE,14)*INDEX(TIJ,14,13)+INDEX(BIJ,17,15)*INDEX(SIE,15)*INDEX(TIJ,15,13)+INDEX(BIJ,17,16)*INDEX(SIE,16)*INDEX(TIJ,16,13))/(INDEX(SIE,17)-INDEX(SIE,13))</f>
        <v>0.700332000405729</v>
      </c>
      <c r="O76" s="91">
        <f>(INDEX(BIJ,17,14)*INDEX(SIE,14)*INDEX(TIJ,14,14)+INDEX(BIJ,17,15)*INDEX(SIE,15)*INDEX(TIJ,15,14)+INDEX(BIJ,17,16)*INDEX(SIE,16)*INDEX(TIJ,16,14))/(INDEX(SIE,17)-INDEX(SIE,14))</f>
        <v>-2.242119399002301</v>
      </c>
      <c r="P76" s="91">
        <f>(INDEX(BIJ,17,15)*INDEX(SIE,15)*INDEX(TIJ,15,15)+INDEX(BIJ,17,16)*INDEX(SIE,16)*INDEX(TIJ,16,15))/(INDEX(SIE,17)-INDEX(SIE,15))</f>
        <v>3.6965537159027018</v>
      </c>
      <c r="Q76" s="91">
        <f>(INDEX(BIJ,17,16)*INDEX(SIE,16)*INDEX(TIJ,16,16))/(INDEX(SIE,17)-INDEX(SIE,16))</f>
        <v>-3.0547356365714156</v>
      </c>
      <c r="R76" s="91">
        <v>1</v>
      </c>
      <c r="S76" s="91">
        <v>0</v>
      </c>
      <c r="T76" s="91">
        <v>0</v>
      </c>
      <c r="U76" s="91">
        <v>0</v>
      </c>
      <c r="W76" s="93">
        <f t="shared" si="40"/>
        <v>17</v>
      </c>
      <c r="X76" s="91">
        <f>Model!$E25</f>
        <v>0.17000141798519863</v>
      </c>
    </row>
    <row r="77" spans="1:24" ht="12.75">
      <c r="A77" s="93">
        <f t="shared" si="39"/>
        <v>18</v>
      </c>
      <c r="B77" s="91">
        <f>(INDEX(BIJ,18,1)*INDEX(SIE,1)*INDEX(TIJ,1,1)+INDEX(BIJ,18,2)*INDEX(SIE,2)*INDEX(TIJ,2,1)+INDEX(BIJ,18,3)*INDEX(SIE,3)*INDEX(TIJ,3,1)+INDEX(BIJ,18,4)*INDEX(SIE,4)*INDEX(TIJ,4,1)+INDEX(BIJ,18,5)*INDEX(SIE,5)*INDEX(TIJ,5,1)+INDEX(BIJ,18,6)*INDEX(SIE,6)*INDEX(TIJ,6,1)+INDEX(BIJ,18,7)*INDEX(SIE,7)*INDEX(TIJ,7,1)+INDEX(BIJ,18,8)*INDEX(SIE,8)*INDEX(TIJ,8,1)+INDEX(BIJ,18,9)*INDEX(SIE,9)*INDEX(TIJ,9,1)+INDEX(BIJ,18,10)*INDEX(SIE,10)*INDEX(TIJ,10,1)+INDEX(BIJ,18,11)*INDEX(SIE,11)*INDEX(TIJ,11,1)+INDEX(BIJ,18,12)*INDEX(SIE,12)*INDEX(TIJ,12,1)+INDEX(BIJ,18,13)*INDEX(SIE,13)*INDEX(TIJ,13,1)+INDEX(BIJ,18,14)*INDEX(SIE,14)*INDEX(TIJ,14,1)+INDEX(BIJ,18,15)*INDEX(SIE,15)*INDEX(TIJ,15,1)+INDEX(BIJ,18,16)*INDEX(SIE,16)*INDEX(TIJ,16,1)+INDEX(BIJ,18,17)*INDEX(SIE,17)*INDEX(TIJ,17,1))/(INDEX(SIE,18)-INDEX(SIE,1))</f>
        <v>1467.2018960104426</v>
      </c>
      <c r="C77" s="91">
        <f>(INDEX(BIJ,18,2)*INDEX(SIE,2)*INDEX(TIJ,2,2)+INDEX(BIJ,18,3)*INDEX(SIE,3)*INDEX(TIJ,3,2)+INDEX(BIJ,18,4)*INDEX(SIE,4)*INDEX(TIJ,4,2)+INDEX(BIJ,18,5)*INDEX(SIE,5)*INDEX(TIJ,5,2)+INDEX(BIJ,18,6)*INDEX(SIE,6)*INDEX(TIJ,6,2)+INDEX(BIJ,18,7)*INDEX(SIE,7)*INDEX(TIJ,7,2)+INDEX(BIJ,18,8)*INDEX(SIE,8)*INDEX(TIJ,8,2)+INDEX(BIJ,18,9)*INDEX(SIE,9)*INDEX(TIJ,9,2)+INDEX(BIJ,18,10)*INDEX(SIE,10)*INDEX(TIJ,10,2)+INDEX(BIJ,18,11)*INDEX(SIE,11)*INDEX(TIJ,11,2)+INDEX(BIJ,18,12)*INDEX(SIE,12)*INDEX(TIJ,12,2)+INDEX(BIJ,18,13)*INDEX(SIE,13)*INDEX(TIJ,13,2)+INDEX(BIJ,18,14)*INDEX(SIE,14)*INDEX(TIJ,14,2)+INDEX(BIJ,18,15)*INDEX(SIE,15)*INDEX(TIJ,15,2)+INDEX(BIJ,18,16)*INDEX(SIE,16)*INDEX(TIJ,16,2)+INDEX(BIJ,18,17)*INDEX(SIE,17)*INDEX(TIJ,17,2))/(INDEX(SIE,18)-INDEX(SIE,2))</f>
        <v>8.265492748371747</v>
      </c>
      <c r="D77" s="91">
        <f>(INDEX(BIJ,18,3)*INDEX(SIE,3)*INDEX(TIJ,3,3)+INDEX(BIJ,18,4)*INDEX(SIE,4)*INDEX(TIJ,4,3)+INDEX(BIJ,18,5)*INDEX(SIE,5)*INDEX(TIJ,5,3)+INDEX(BIJ,18,6)*INDEX(SIE,6)*INDEX(TIJ,6,3)+INDEX(BIJ,18,7)*INDEX(SIE,7)*INDEX(TIJ,7,3)+INDEX(BIJ,18,8)*INDEX(SIE,8)*INDEX(TIJ,8,3)+INDEX(BIJ,18,9)*INDEX(SIE,9)*INDEX(TIJ,9,3)+INDEX(BIJ,18,10)*INDEX(SIE,10)*INDEX(TIJ,10,3)+INDEX(BIJ,18,11)*INDEX(SIE,11)*INDEX(TIJ,11,3)+INDEX(BIJ,18,12)*INDEX(SIE,12)*INDEX(TIJ,12,3)+INDEX(BIJ,18,13)*INDEX(SIE,13)*INDEX(TIJ,13,3)+INDEX(BIJ,18,14)*INDEX(SIE,14)*INDEX(TIJ,14,3)+INDEX(BIJ,18,15)*INDEX(SIE,15)*INDEX(TIJ,15,3)+INDEX(BIJ,18,16)*INDEX(SIE,16)*INDEX(TIJ,16,3)+INDEX(BIJ,18,17)*INDEX(SIE,17)*INDEX(TIJ,17,3))/(INDEX(SIE,18)-INDEX(SIE,3))</f>
        <v>-0.02751682571891941</v>
      </c>
      <c r="E77" s="91">
        <f>(INDEX(BIJ,18,4)*INDEX(SIE,4)*INDEX(TIJ,4,4)+INDEX(BIJ,18,5)*INDEX(SIE,5)*INDEX(TIJ,5,4)+INDEX(BIJ,18,6)*INDEX(SIE,6)*INDEX(TIJ,6,4)+INDEX(BIJ,18,7)*INDEX(SIE,7)*INDEX(TIJ,7,4)+INDEX(BIJ,18,8)*INDEX(SIE,8)*INDEX(TIJ,8,4)+INDEX(BIJ,18,9)*INDEX(SIE,9)*INDEX(TIJ,9,4)+INDEX(BIJ,18,10)*INDEX(SIE,10)*INDEX(TIJ,10,4)+INDEX(BIJ,18,11)*INDEX(SIE,11)*INDEX(TIJ,11,4)+INDEX(BIJ,18,12)*INDEX(SIE,12)*INDEX(TIJ,12,4)+INDEX(BIJ,18,13)*INDEX(SIE,13)*INDEX(TIJ,13,4)+INDEX(BIJ,18,14)*INDEX(SIE,14)*INDEX(TIJ,14,4)+INDEX(BIJ,18,15)*INDEX(SIE,15)*INDEX(TIJ,15,4)+INDEX(BIJ,18,16)*INDEX(SIE,16)*INDEX(TIJ,16,4)+INDEX(BIJ,18,17)*INDEX(SIE,17)*INDEX(TIJ,17,4))/(INDEX(SIE,18)-INDEX(SIE,4))</f>
        <v>0.46332713755583904</v>
      </c>
      <c r="F77" s="91">
        <f>(INDEX(BIJ,18,5)*INDEX(SIE,5)*INDEX(TIJ,5,5)+INDEX(BIJ,18,6)*INDEX(SIE,6)*INDEX(TIJ,6,5)+INDEX(BIJ,18,7)*INDEX(SIE,7)*INDEX(TIJ,7,5)+INDEX(BIJ,18,8)*INDEX(SIE,8)*INDEX(TIJ,8,5)+INDEX(BIJ,18,9)*INDEX(SIE,9)*INDEX(TIJ,9,5)+INDEX(BIJ,18,10)*INDEX(SIE,10)*INDEX(TIJ,10,5)+INDEX(BIJ,18,11)*INDEX(SIE,11)*INDEX(TIJ,11,5)+INDEX(BIJ,18,12)*INDEX(SIE,12)*INDEX(TIJ,12,5)+INDEX(BIJ,18,13)*INDEX(SIE,13)*INDEX(TIJ,13,5)+INDEX(BIJ,18,14)*INDEX(SIE,14)*INDEX(TIJ,14,5)+INDEX(BIJ,18,15)*INDEX(SIE,15)*INDEX(TIJ,15,5)+INDEX(BIJ,18,16)*INDEX(SIE,16)*INDEX(TIJ,16,5)+INDEX(BIJ,18,17)*INDEX(SIE,17)*INDEX(TIJ,17,5))/(INDEX(SIE,18)-INDEX(SIE,5))</f>
        <v>0.04269580852917677</v>
      </c>
      <c r="G77" s="91">
        <f>(INDEX(BIJ,18,6)*INDEX(SIE,6)*INDEX(TIJ,6,6)+INDEX(BIJ,18,7)*INDEX(SIE,7)*INDEX(TIJ,7,6)+INDEX(BIJ,18,8)*INDEX(SIE,8)*INDEX(TIJ,8,6)+INDEX(BIJ,18,9)*INDEX(SIE,9)*INDEX(TIJ,9,6)+INDEX(BIJ,18,10)*INDEX(SIE,10)*INDEX(TIJ,10,6)+INDEX(BIJ,18,11)*INDEX(SIE,11)*INDEX(TIJ,11,6)+INDEX(BIJ,18,12)*INDEX(SIE,12)*INDEX(TIJ,12,6)+INDEX(BIJ,18,13)*INDEX(SIE,13)*INDEX(TIJ,13,6)+INDEX(BIJ,18,14)*INDEX(SIE,14)*INDEX(TIJ,14,6)+INDEX(BIJ,18,15)*INDEX(SIE,15)*INDEX(TIJ,15,6)+INDEX(BIJ,18,16)*INDEX(SIE,16)*INDEX(TIJ,16,6)+INDEX(BIJ,18,17)*INDEX(SIE,17)*INDEX(TIJ,17,6))/(INDEX(SIE,18)-INDEX(SIE,6))</f>
        <v>0.0010530737450803822</v>
      </c>
      <c r="H77" s="91">
        <f>(INDEX(BIJ,18,7)*INDEX(SIE,7)*INDEX(TIJ,7,7)+INDEX(BIJ,18,8)*INDEX(SIE,8)*INDEX(TIJ,8,7)+INDEX(BIJ,18,9)*INDEX(SIE,9)*INDEX(TIJ,9,7)+INDEX(BIJ,18,10)*INDEX(SIE,10)*INDEX(TIJ,10,7)+INDEX(BIJ,18,11)*INDEX(SIE,11)*INDEX(TIJ,11,7)+INDEX(BIJ,18,12)*INDEX(SIE,12)*INDEX(TIJ,12,7)+INDEX(BIJ,18,13)*INDEX(SIE,13)*INDEX(TIJ,13,7)+INDEX(BIJ,18,14)*INDEX(SIE,14)*INDEX(TIJ,14,7)+INDEX(BIJ,18,15)*INDEX(SIE,15)*INDEX(TIJ,15,7)+INDEX(BIJ,18,16)*INDEX(SIE,16)*INDEX(TIJ,16,7)+INDEX(BIJ,18,17)*INDEX(SIE,17)*INDEX(TIJ,17,7))/(INDEX(SIE,18)-INDEX(SIE,7))</f>
        <v>-0.0003028229160059532</v>
      </c>
      <c r="I77" s="91">
        <f>(INDEX(BIJ,18,8)*INDEX(SIE,8)*INDEX(TIJ,8,8)+INDEX(BIJ,18,9)*INDEX(SIE,9)*INDEX(TIJ,9,8)+INDEX(BIJ,18,10)*INDEX(SIE,10)*INDEX(TIJ,10,8)+INDEX(BIJ,18,11)*INDEX(SIE,11)*INDEX(TIJ,11,8)+INDEX(BIJ,18,12)*INDEX(SIE,12)*INDEX(TIJ,12,8)+INDEX(BIJ,18,13)*INDEX(SIE,13)*INDEX(TIJ,13,8)+INDEX(BIJ,18,14)*INDEX(SIE,14)*INDEX(TIJ,14,8)+INDEX(BIJ,18,15)*INDEX(SIE,15)*INDEX(TIJ,15,8)+INDEX(BIJ,18,16)*INDEX(SIE,16)*INDEX(TIJ,16,8)+INDEX(BIJ,18,17)*INDEX(SIE,17)*INDEX(TIJ,17,8))/(INDEX(SIE,18)-INDEX(SIE,8))</f>
        <v>0.00036313047657052195</v>
      </c>
      <c r="J77" s="91">
        <f>(INDEX(BIJ,18,9)*INDEX(SIE,9)*INDEX(TIJ,9,9)+INDEX(BIJ,18,10)*INDEX(SIE,10)*INDEX(TIJ,10,9)+INDEX(BIJ,18,11)*INDEX(SIE,11)*INDEX(TIJ,11,9)+INDEX(BIJ,18,12)*INDEX(SIE,12)*INDEX(TIJ,12,9)+INDEX(BIJ,18,13)*INDEX(SIE,13)*INDEX(TIJ,13,9)+INDEX(BIJ,18,14)*INDEX(SIE,14)*INDEX(TIJ,14,9)+INDEX(BIJ,18,15)*INDEX(SIE,15)*INDEX(TIJ,15,9)+INDEX(BIJ,18,16)*INDEX(SIE,16)*INDEX(TIJ,16,9)+INDEX(BIJ,18,17)*INDEX(SIE,17)*INDEX(TIJ,17,9))/(INDEX(SIE,18)-INDEX(SIE,9))</f>
        <v>-0.00024241829554225118</v>
      </c>
      <c r="K77" s="91">
        <f>(INDEX(BIJ,18,10)*INDEX(SIE,10)*INDEX(TIJ,10,10)+INDEX(BIJ,18,11)*INDEX(SIE,11)*INDEX(TIJ,11,10)+INDEX(BIJ,18,12)*INDEX(SIE,12)*INDEX(TIJ,12,10)+INDEX(BIJ,18,13)*INDEX(SIE,13)*INDEX(TIJ,13,10)+INDEX(BIJ,18,14)*INDEX(SIE,14)*INDEX(TIJ,14,10)+INDEX(BIJ,18,15)*INDEX(SIE,15)*INDEX(TIJ,15,10)+INDEX(BIJ,18,16)*INDEX(SIE,16)*INDEX(TIJ,16,10)+INDEX(BIJ,18,17)*INDEX(SIE,17)*INDEX(TIJ,17,10))/(INDEX(SIE,18)-INDEX(SIE,10))</f>
        <v>2.94814863545993E-05</v>
      </c>
      <c r="L77" s="91">
        <f>(INDEX(BIJ,18,11)*INDEX(SIE,11)*INDEX(TIJ,11,11)+INDEX(BIJ,18,12)*INDEX(SIE,12)*INDEX(TIJ,12,11)+INDEX(BIJ,18,13)*INDEX(SIE,13)*INDEX(TIJ,13,11)+INDEX(BIJ,18,14)*INDEX(SIE,14)*INDEX(TIJ,14,11)+INDEX(BIJ,18,15)*INDEX(SIE,15)*INDEX(TIJ,15,11)+INDEX(BIJ,18,16)*INDEX(SIE,16)*INDEX(TIJ,16,11)+INDEX(BIJ,18,17)*INDEX(SIE,17)*INDEX(TIJ,17,11))/(INDEX(SIE,18)-INDEX(SIE,11))</f>
        <v>-2.0210493480594141E-07</v>
      </c>
      <c r="M77" s="91">
        <f>(INDEX(BIJ,18,12)*INDEX(SIE,12)*INDEX(TIJ,12,12)+INDEX(BIJ,18,13)*INDEX(SIE,13)*INDEX(TIJ,13,12)+INDEX(BIJ,18,14)*INDEX(SIE,14)*INDEX(TIJ,14,12)+INDEX(BIJ,18,15)*INDEX(SIE,15)*INDEX(TIJ,15,12)+INDEX(BIJ,18,16)*INDEX(SIE,16)*INDEX(TIJ,16,12)+INDEX(BIJ,18,17)*INDEX(SIE,17)*INDEX(TIJ,17,12))/(INDEX(SIE,18)-INDEX(SIE,12))</f>
        <v>0.0036311911802868685</v>
      </c>
      <c r="N77" s="91">
        <f>(INDEX(BIJ,18,13)*INDEX(SIE,13)*INDEX(TIJ,13,13)+INDEX(BIJ,18,14)*INDEX(SIE,14)*INDEX(TIJ,14,13)+INDEX(BIJ,18,15)*INDEX(SIE,15)*INDEX(TIJ,15,13)+INDEX(BIJ,18,16)*INDEX(SIE,16)*INDEX(TIJ,16,13)+INDEX(BIJ,18,17)*INDEX(SIE,17)*INDEX(TIJ,17,13))/(INDEX(SIE,18)-INDEX(SIE,13))</f>
        <v>-0.10090563618918529</v>
      </c>
      <c r="O77" s="91">
        <f>(INDEX(BIJ,18,14)*INDEX(SIE,14)*INDEX(TIJ,14,14)+INDEX(BIJ,18,15)*INDEX(SIE,15)*INDEX(TIJ,15,14)+INDEX(BIJ,18,16)*INDEX(SIE,16)*INDEX(TIJ,16,14)+INDEX(BIJ,18,17)*INDEX(SIE,17)*INDEX(TIJ,17,14))/(INDEX(SIE,18)-INDEX(SIE,14))</f>
        <v>0.7023738847081902</v>
      </c>
      <c r="P77" s="91">
        <f>(INDEX(BIJ,18,15)*INDEX(SIE,15)*INDEX(TIJ,15,15)+INDEX(BIJ,18,16)*INDEX(SIE,16)*INDEX(TIJ,16,15)+INDEX(BIJ,18,17)*INDEX(SIE,17)*INDEX(TIJ,17,15))/(INDEX(SIE,18)-INDEX(SIE,15))</f>
        <v>-2.240356841131067</v>
      </c>
      <c r="Q77" s="91">
        <f>(INDEX(BIJ,18,16)*INDEX(SIE,16)*INDEX(TIJ,16,16)+INDEX(BIJ,18,17)*INDEX(SIE,17)*INDEX(TIJ,17,16))/(INDEX(SIE,18)-INDEX(SIE,16))</f>
        <v>3.692417033911236</v>
      </c>
      <c r="R77" s="91">
        <f>(INDEX(BIJ,18,17)*INDEX(SIE,17)*INDEX(TIJ,17,17))/(INDEX(SIE,18)-INDEX(SIE,17))</f>
        <v>-3.059747561109023</v>
      </c>
      <c r="S77" s="91">
        <v>1</v>
      </c>
      <c r="T77" s="91">
        <v>0</v>
      </c>
      <c r="U77" s="91">
        <v>0</v>
      </c>
      <c r="W77" s="93">
        <f t="shared" si="40"/>
        <v>18</v>
      </c>
      <c r="X77" s="91">
        <f>Model!$E26</f>
        <v>0.13571356983641714</v>
      </c>
    </row>
    <row r="78" spans="1:24" ht="12.75">
      <c r="A78" s="93">
        <f t="shared" si="39"/>
        <v>19</v>
      </c>
      <c r="B78" s="91">
        <f>(INDEX(BIJ,19,1)*INDEX(SIE,1)*INDEX(TIJ,1,1)+INDEX(BIJ,19,2)*INDEX(SIE,2)*INDEX(TIJ,2,1)+INDEX(BIJ,19,3)*INDEX(SIE,3)*INDEX(TIJ,3,1)+INDEX(BIJ,19,4)*INDEX(SIE,4)*INDEX(TIJ,4,1)+INDEX(BIJ,19,5)*INDEX(SIE,5)*INDEX(TIJ,5,1)+INDEX(BIJ,19,6)*INDEX(SIE,6)*INDEX(TIJ,6,1)+INDEX(BIJ,19,7)*INDEX(SIE,7)*INDEX(TIJ,7,1)+INDEX(BIJ,19,8)*INDEX(SIE,8)*INDEX(TIJ,8,1)+INDEX(BIJ,19,9)*INDEX(SIE,9)*INDEX(TIJ,9,1)+INDEX(BIJ,19,10)*INDEX(SIE,10)*INDEX(TIJ,10,1)+INDEX(BIJ,19,11)*INDEX(SIE,11)*INDEX(TIJ,11,1)+INDEX(BIJ,19,12)*INDEX(SIE,12)*INDEX(TIJ,12,1)+INDEX(BIJ,19,13)*INDEX(SIE,13)*INDEX(TIJ,13,1)+INDEX(BIJ,19,14)*INDEX(SIE,14)*INDEX(TIJ,14,1)+INDEX(BIJ,19,15)*INDEX(SIE,15)*INDEX(TIJ,15,1)+INDEX(BIJ,19,16)*INDEX(SIE,16)*INDEX(TIJ,16,1)+INDEX(BIJ,19,17)*INDEX(SIE,17)*INDEX(TIJ,17,1)+INDEX(BIJ,19,18)*INDEX(SIE,18)*INDEX(TIJ,18,1))/(INDEX(SIE,19)-INDEX(SIE,1))</f>
        <v>-391.52903569391117</v>
      </c>
      <c r="C78" s="91">
        <f>(INDEX(BIJ,19,2)*INDEX(SIE,2)*INDEX(TIJ,2,2)+INDEX(BIJ,19,3)*INDEX(SIE,3)*INDEX(TIJ,3,2)+INDEX(BIJ,19,4)*INDEX(SIE,4)*INDEX(TIJ,4,2)+INDEX(BIJ,19,5)*INDEX(SIE,5)*INDEX(TIJ,5,2)+INDEX(BIJ,19,6)*INDEX(SIE,6)*INDEX(TIJ,6,2)+INDEX(BIJ,19,7)*INDEX(SIE,7)*INDEX(TIJ,7,2)+INDEX(BIJ,19,8)*INDEX(SIE,8)*INDEX(TIJ,8,2)+INDEX(BIJ,19,9)*INDEX(SIE,9)*INDEX(TIJ,9,2)+INDEX(BIJ,19,10)*INDEX(SIE,10)*INDEX(TIJ,10,2)+INDEX(BIJ,19,11)*INDEX(SIE,11)*INDEX(TIJ,11,2)+INDEX(BIJ,19,12)*INDEX(SIE,12)*INDEX(TIJ,12,2)+INDEX(BIJ,19,13)*INDEX(SIE,13)*INDEX(TIJ,13,2)+INDEX(BIJ,19,14)*INDEX(SIE,14)*INDEX(TIJ,14,2)+INDEX(BIJ,19,15)*INDEX(SIE,15)*INDEX(TIJ,15,2)+INDEX(BIJ,19,16)*INDEX(SIE,16)*INDEX(TIJ,16,2)+INDEX(BIJ,19,17)*INDEX(SIE,17)*INDEX(TIJ,17,2)+INDEX(BIJ,19,18)*INDEX(SIE,18)*INDEX(TIJ,18,2))/(INDEX(SIE,19)-INDEX(SIE,2))</f>
        <v>0.11572636505796152</v>
      </c>
      <c r="D78" s="91">
        <f>(INDEX(BIJ,19,3)*INDEX(SIE,3)*INDEX(TIJ,3,3)+INDEX(BIJ,19,4)*INDEX(SIE,4)*INDEX(TIJ,4,3)+INDEX(BIJ,19,5)*INDEX(SIE,5)*INDEX(TIJ,5,3)+INDEX(BIJ,19,6)*INDEX(SIE,6)*INDEX(TIJ,6,3)+INDEX(BIJ,19,7)*INDEX(SIE,7)*INDEX(TIJ,7,3)+INDEX(BIJ,19,8)*INDEX(SIE,8)*INDEX(TIJ,8,3)+INDEX(BIJ,19,9)*INDEX(SIE,9)*INDEX(TIJ,9,3)+INDEX(BIJ,19,10)*INDEX(SIE,10)*INDEX(TIJ,10,3)+INDEX(BIJ,19,11)*INDEX(SIE,11)*INDEX(TIJ,11,3)+INDEX(BIJ,19,12)*INDEX(SIE,12)*INDEX(TIJ,12,3)+INDEX(BIJ,19,13)*INDEX(SIE,13)*INDEX(TIJ,13,3)+INDEX(BIJ,19,14)*INDEX(SIE,14)*INDEX(TIJ,14,3)+INDEX(BIJ,19,15)*INDEX(SIE,15)*INDEX(TIJ,15,3)+INDEX(BIJ,19,16)*INDEX(SIE,16)*INDEX(TIJ,16,3)+INDEX(BIJ,19,17)*INDEX(SIE,17)*INDEX(TIJ,17,3)+INDEX(BIJ,19,18)*INDEX(SIE,18)*INDEX(TIJ,18,3))/(INDEX(SIE,19)-INDEX(SIE,3))</f>
        <v>-0.009107052967010544</v>
      </c>
      <c r="E78" s="91">
        <f>(INDEX(BIJ,19,4)*INDEX(SIE,4)*INDEX(TIJ,4,4)+INDEX(BIJ,19,5)*INDEX(SIE,5)*INDEX(TIJ,5,4)+INDEX(BIJ,19,6)*INDEX(SIE,6)*INDEX(TIJ,6,4)+INDEX(BIJ,19,7)*INDEX(SIE,7)*INDEX(TIJ,7,4)+INDEX(BIJ,19,8)*INDEX(SIE,8)*INDEX(TIJ,8,4)+INDEX(BIJ,19,9)*INDEX(SIE,9)*INDEX(TIJ,9,4)+INDEX(BIJ,19,10)*INDEX(SIE,10)*INDEX(TIJ,10,4)+INDEX(BIJ,19,11)*INDEX(SIE,11)*INDEX(TIJ,11,4)+INDEX(BIJ,19,12)*INDEX(SIE,12)*INDEX(TIJ,12,4)+INDEX(BIJ,19,13)*INDEX(SIE,13)*INDEX(TIJ,13,4)+INDEX(BIJ,19,14)*INDEX(SIE,14)*INDEX(TIJ,14,4)+INDEX(BIJ,19,15)*INDEX(SIE,15)*INDEX(TIJ,15,4)+INDEX(BIJ,19,16)*INDEX(SIE,16)*INDEX(TIJ,16,4)+INDEX(BIJ,19,17)*INDEX(SIE,17)*INDEX(TIJ,17,4)+INDEX(BIJ,19,18)*INDEX(SIE,18)*INDEX(TIJ,18,4))/(INDEX(SIE,19)-INDEX(SIE,4))</f>
        <v>0.40789369831243916</v>
      </c>
      <c r="F78" s="91">
        <f>(INDEX(BIJ,19,5)*INDEX(SIE,5)*INDEX(TIJ,5,5)+INDEX(BIJ,19,6)*INDEX(SIE,6)*INDEX(TIJ,6,5)+INDEX(BIJ,19,7)*INDEX(SIE,7)*INDEX(TIJ,7,5)+INDEX(BIJ,19,8)*INDEX(SIE,8)*INDEX(TIJ,8,5)+INDEX(BIJ,19,9)*INDEX(SIE,9)*INDEX(TIJ,9,5)+INDEX(BIJ,19,10)*INDEX(SIE,10)*INDEX(TIJ,10,5)+INDEX(BIJ,19,11)*INDEX(SIE,11)*INDEX(TIJ,11,5)+INDEX(BIJ,19,12)*INDEX(SIE,12)*INDEX(TIJ,12,5)+INDEX(BIJ,19,13)*INDEX(SIE,13)*INDEX(TIJ,13,5)+INDEX(BIJ,19,14)*INDEX(SIE,14)*INDEX(TIJ,14,5)+INDEX(BIJ,19,15)*INDEX(SIE,15)*INDEX(TIJ,15,5)+INDEX(BIJ,19,16)*INDEX(SIE,16)*INDEX(TIJ,16,5)+INDEX(BIJ,19,17)*INDEX(SIE,17)*INDEX(TIJ,17,5)+INDEX(BIJ,19,18)*INDEX(SIE,18)*INDEX(TIJ,18,5))/(INDEX(SIE,19)-INDEX(SIE,5))</f>
        <v>0.037612930084390955</v>
      </c>
      <c r="G78" s="91">
        <f>(INDEX(BIJ,19,6)*INDEX(SIE,6)*INDEX(TIJ,6,6)+INDEX(BIJ,19,7)*INDEX(SIE,7)*INDEX(TIJ,7,6)+INDEX(BIJ,19,8)*INDEX(SIE,8)*INDEX(TIJ,8,6)+INDEX(BIJ,19,9)*INDEX(SIE,9)*INDEX(TIJ,9,6)+INDEX(BIJ,19,10)*INDEX(SIE,10)*INDEX(TIJ,10,6)+INDEX(BIJ,19,11)*INDEX(SIE,11)*INDEX(TIJ,11,6)+INDEX(BIJ,19,12)*INDEX(SIE,12)*INDEX(TIJ,12,6)+INDEX(BIJ,19,13)*INDEX(SIE,13)*INDEX(TIJ,13,6)+INDEX(BIJ,19,14)*INDEX(SIE,14)*INDEX(TIJ,14,6)+INDEX(BIJ,19,15)*INDEX(SIE,15)*INDEX(TIJ,15,6)+INDEX(BIJ,19,16)*INDEX(SIE,16)*INDEX(TIJ,16,6)+INDEX(BIJ,19,17)*INDEX(SIE,17)*INDEX(TIJ,17,6)+INDEX(BIJ,19,18)*INDEX(SIE,18)*INDEX(TIJ,18,6))/(INDEX(SIE,19)-INDEX(SIE,6))</f>
        <v>0.0009277209587488056</v>
      </c>
      <c r="H78" s="91">
        <f>(INDEX(BIJ,19,7)*INDEX(SIE,7)*INDEX(TIJ,7,7)+INDEX(BIJ,19,8)*INDEX(SIE,8)*INDEX(TIJ,8,7)+INDEX(BIJ,19,9)*INDEX(SIE,9)*INDEX(TIJ,9,7)+INDEX(BIJ,19,10)*INDEX(SIE,10)*INDEX(TIJ,10,7)+INDEX(BIJ,19,11)*INDEX(SIE,11)*INDEX(TIJ,11,7)+INDEX(BIJ,19,12)*INDEX(SIE,12)*INDEX(TIJ,12,7)+INDEX(BIJ,19,13)*INDEX(SIE,13)*INDEX(TIJ,13,7)+INDEX(BIJ,19,14)*INDEX(SIE,14)*INDEX(TIJ,14,7)+INDEX(BIJ,19,15)*INDEX(SIE,15)*INDEX(TIJ,15,7)+INDEX(BIJ,19,16)*INDEX(SIE,16)*INDEX(TIJ,16,7)+INDEX(BIJ,19,17)*INDEX(SIE,17)*INDEX(TIJ,17,7)+INDEX(BIJ,19,18)*INDEX(SIE,18)*INDEX(TIJ,18,7))/(INDEX(SIE,19)-INDEX(SIE,7))</f>
        <v>-0.0002667268800753841</v>
      </c>
      <c r="I78" s="91">
        <f>(INDEX(BIJ,19,8)*INDEX(SIE,8)*INDEX(TIJ,8,8)+INDEX(BIJ,19,9)*INDEX(SIE,9)*INDEX(TIJ,9,8)+INDEX(BIJ,19,10)*INDEX(SIE,10)*INDEX(TIJ,10,8)+INDEX(BIJ,19,11)*INDEX(SIE,11)*INDEX(TIJ,11,8)+INDEX(BIJ,19,12)*INDEX(SIE,12)*INDEX(TIJ,12,8)+INDEX(BIJ,19,13)*INDEX(SIE,13)*INDEX(TIJ,13,8)+INDEX(BIJ,19,14)*INDEX(SIE,14)*INDEX(TIJ,14,8)+INDEX(BIJ,19,15)*INDEX(SIE,15)*INDEX(TIJ,15,8)+INDEX(BIJ,19,16)*INDEX(SIE,16)*INDEX(TIJ,16,8)+INDEX(BIJ,19,17)*INDEX(SIE,17)*INDEX(TIJ,17,8)+INDEX(BIJ,19,18)*INDEX(SIE,18)*INDEX(TIJ,18,8))/(INDEX(SIE,19)-INDEX(SIE,8))</f>
        <v>0.0003196270002823648</v>
      </c>
      <c r="J78" s="91">
        <f>(INDEX(BIJ,19,9)*INDEX(SIE,9)*INDEX(TIJ,9,9)+INDEX(BIJ,19,10)*INDEX(SIE,10)*INDEX(TIJ,10,9)+INDEX(BIJ,19,11)*INDEX(SIE,11)*INDEX(TIJ,11,9)+INDEX(BIJ,19,12)*INDEX(SIE,12)*INDEX(TIJ,12,9)+INDEX(BIJ,19,13)*INDEX(SIE,13)*INDEX(TIJ,13,9)+INDEX(BIJ,19,14)*INDEX(SIE,14)*INDEX(TIJ,14,9)+INDEX(BIJ,19,15)*INDEX(SIE,15)*INDEX(TIJ,15,9)+INDEX(BIJ,19,16)*INDEX(SIE,16)*INDEX(TIJ,16,9)+INDEX(BIJ,19,17)*INDEX(SIE,17)*INDEX(TIJ,17,9)+INDEX(BIJ,19,18)*INDEX(SIE,18)*INDEX(TIJ,18,9))/(INDEX(SIE,19)-INDEX(SIE,9))</f>
        <v>-0.00021506191273588625</v>
      </c>
      <c r="K78" s="91">
        <f>(INDEX(BIJ,19,10)*INDEX(SIE,10)*INDEX(TIJ,10,10)+INDEX(BIJ,19,11)*INDEX(SIE,11)*INDEX(TIJ,11,10)+INDEX(BIJ,19,12)*INDEX(SIE,12)*INDEX(TIJ,12,10)+INDEX(BIJ,19,13)*INDEX(SIE,13)*INDEX(TIJ,13,10)+INDEX(BIJ,19,14)*INDEX(SIE,14)*INDEX(TIJ,14,10)+INDEX(BIJ,19,15)*INDEX(SIE,15)*INDEX(TIJ,15,10)+INDEX(BIJ,19,16)*INDEX(SIE,16)*INDEX(TIJ,16,10)+INDEX(BIJ,19,17)*INDEX(SIE,17)*INDEX(TIJ,17,10)+INDEX(BIJ,19,18)*INDEX(SIE,18)*INDEX(TIJ,18,10))/(INDEX(SIE,19)-INDEX(SIE,10))</f>
        <v>1.4922149899874945E-05</v>
      </c>
      <c r="L78" s="91">
        <f>(INDEX(BIJ,19,11)*INDEX(SIE,11)*INDEX(TIJ,11,11)+INDEX(BIJ,19,12)*INDEX(SIE,12)*INDEX(TIJ,12,11)+INDEX(BIJ,19,13)*INDEX(SIE,13)*INDEX(TIJ,13,11)+INDEX(BIJ,19,14)*INDEX(SIE,14)*INDEX(TIJ,14,11)+INDEX(BIJ,19,15)*INDEX(SIE,15)*INDEX(TIJ,15,11)+INDEX(BIJ,19,16)*INDEX(SIE,16)*INDEX(TIJ,16,11)+INDEX(BIJ,19,17)*INDEX(SIE,17)*INDEX(TIJ,17,11)+INDEX(BIJ,19,18)*INDEX(SIE,18)*INDEX(TIJ,18,11))/(INDEX(SIE,19)-INDEX(SIE,11))</f>
        <v>-0.00011923822016483901</v>
      </c>
      <c r="M78" s="91">
        <f>(INDEX(BIJ,19,12)*INDEX(SIE,12)*INDEX(TIJ,12,12)+INDEX(BIJ,19,13)*INDEX(SIE,13)*INDEX(TIJ,13,12)+INDEX(BIJ,19,14)*INDEX(SIE,14)*INDEX(TIJ,14,12)+INDEX(BIJ,19,15)*INDEX(SIE,15)*INDEX(TIJ,15,12)+INDEX(BIJ,19,16)*INDEX(SIE,16)*INDEX(TIJ,16,12)+INDEX(BIJ,19,17)*INDEX(SIE,17)*INDEX(TIJ,17,12)+INDEX(BIJ,19,18)*INDEX(SIE,18)*INDEX(TIJ,18,12))/(INDEX(SIE,19)-INDEX(SIE,12))</f>
        <v>2.014845015219639E-05</v>
      </c>
      <c r="N78" s="91">
        <f>(INDEX(BIJ,19,13)*INDEX(SIE,13)*INDEX(TIJ,13,13)+INDEX(BIJ,19,14)*INDEX(SIE,14)*INDEX(TIJ,14,13)+INDEX(BIJ,19,15)*INDEX(SIE,15)*INDEX(TIJ,15,13)+INDEX(BIJ,19,16)*INDEX(SIE,16)*INDEX(TIJ,16,13)+INDEX(BIJ,19,17)*INDEX(SIE,17)*INDEX(TIJ,17,13)+INDEX(BIJ,19,18)*INDEX(SIE,18)*INDEX(TIJ,18,13))/(INDEX(SIE,19)-INDEX(SIE,13))</f>
        <v>0.003561574590141693</v>
      </c>
      <c r="O78" s="91">
        <f>(INDEX(BIJ,19,14)*INDEX(SIE,14)*INDEX(TIJ,14,14)+INDEX(BIJ,19,15)*INDEX(SIE,15)*INDEX(TIJ,15,14)+INDEX(BIJ,19,16)*INDEX(SIE,16)*INDEX(TIJ,16,14)+INDEX(BIJ,19,17)*INDEX(SIE,17)*INDEX(TIJ,17,14)+INDEX(BIJ,19,18)*INDEX(SIE,18)*INDEX(TIJ,18,14))/(INDEX(SIE,19)-INDEX(SIE,14))</f>
        <v>-0.10055588671336889</v>
      </c>
      <c r="P78" s="91">
        <f>(INDEX(BIJ,19,15)*INDEX(SIE,15)*INDEX(TIJ,15,15)+INDEX(BIJ,19,16)*INDEX(SIE,16)*INDEX(TIJ,16,15)+INDEX(BIJ,19,17)*INDEX(SIE,17)*INDEX(TIJ,17,15)+INDEX(BIJ,19,18)*INDEX(SIE,18)*INDEX(TIJ,18,15))/(INDEX(SIE,19)-INDEX(SIE,15))</f>
        <v>0.6925283890442612</v>
      </c>
      <c r="Q78" s="91">
        <f>(INDEX(BIJ,19,16)*INDEX(SIE,16)*INDEX(TIJ,16,16)+INDEX(BIJ,19,17)*INDEX(SIE,17)*INDEX(TIJ,17,16)+INDEX(BIJ,19,18)*INDEX(SIE,18)*INDEX(TIJ,18,16))/(INDEX(SIE,19)-INDEX(SIE,16))</f>
        <v>-2.2067841689094547</v>
      </c>
      <c r="R78" s="91">
        <f>(INDEX(BIJ,19,17)*INDEX(SIE,17)*INDEX(TIJ,17,17)+INDEX(BIJ,19,18)*INDEX(SIE,18)*INDEX(TIJ,18,17))/(INDEX(SIE,19)-INDEX(SIE,17))</f>
        <v>3.653974344001882</v>
      </c>
      <c r="S78" s="91">
        <f>(INDEX(BIJ,19,18)*INDEX(SIE,18)*INDEX(TIJ,18,18))/(INDEX(SIE,19)-INDEX(SIE,18))</f>
        <v>-3.0494002976838734</v>
      </c>
      <c r="T78" s="91">
        <v>1</v>
      </c>
      <c r="U78" s="91">
        <v>0</v>
      </c>
      <c r="W78" s="93">
        <f t="shared" si="40"/>
        <v>19</v>
      </c>
      <c r="X78" s="91">
        <f>Model!$E27</f>
        <v>0.10880786995103661</v>
      </c>
    </row>
    <row r="79" spans="1:24" ht="12.75">
      <c r="A79" s="93">
        <f t="shared" si="39"/>
        <v>20</v>
      </c>
      <c r="B79" s="91">
        <f>(INDEX(BIJ,20,1)*INDEX(SIE,1)*INDEX(TIJ,1,1)+INDEX(BIJ,20,2)*INDEX(SIE,2)*INDEX(TIJ,2,1)+INDEX(BIJ,20,3)*INDEX(SIE,3)*INDEX(TIJ,3,1)+INDEX(BIJ,20,4)*INDEX(SIE,4)*INDEX(TIJ,4,1)+INDEX(BIJ,20,5)*INDEX(SIE,5)*INDEX(TIJ,5,1)+INDEX(BIJ,20,6)*INDEX(SIE,6)*INDEX(TIJ,6,1)+INDEX(BIJ,20,7)*INDEX(SIE,7)*INDEX(TIJ,7,1)+INDEX(BIJ,20,8)*INDEX(SIE,8)*INDEX(TIJ,8,1)+INDEX(BIJ,20,9)*INDEX(SIE,9)*INDEX(TIJ,9,1)+INDEX(BIJ,20,10)*INDEX(SIE,10)*INDEX(TIJ,10,1)+INDEX(BIJ,20,11)*INDEX(SIE,11)*INDEX(TIJ,11,1)+INDEX(BIJ,20,12)*INDEX(SIE,12)*INDEX(TIJ,12,1)+INDEX(BIJ,20,13)*INDEX(SIE,13)*INDEX(TIJ,13,1)+INDEX(BIJ,20,14)*INDEX(SIE,14)*INDEX(TIJ,14,1)+INDEX(BIJ,20,15)*INDEX(SIE,15)*INDEX(TIJ,15,1)+INDEX(BIJ,20,16)*INDEX(SIE,16)*INDEX(TIJ,16,1)+INDEX(BIJ,20,17)*INDEX(SIE,17)*INDEX(TIJ,17,1)+INDEX(BIJ,20,18)*INDEX(SIE,18)*INDEX(TIJ,18,1)+INDEX(BIJ,20,19)*INDEX(SIE,19)*INDEX(TIJ,19,1))/(INDEX(SIE,20)-INDEX(SIE,1))</f>
        <v>40.43339426643776</v>
      </c>
      <c r="C79" s="91">
        <f>(INDEX(BIJ,20,2)*INDEX(SIE,2)*INDEX(TIJ,2,2)+INDEX(BIJ,20,3)*INDEX(SIE,3)*INDEX(TIJ,3,2)+INDEX(BIJ,20,4)*INDEX(SIE,4)*INDEX(TIJ,4,2)+INDEX(BIJ,20,5)*INDEX(SIE,5)*INDEX(TIJ,5,2)+INDEX(BIJ,20,6)*INDEX(SIE,6)*INDEX(TIJ,6,2)+INDEX(BIJ,20,7)*INDEX(SIE,7)*INDEX(TIJ,7,2)+INDEX(BIJ,20,8)*INDEX(SIE,8)*INDEX(TIJ,8,2)+INDEX(BIJ,20,9)*INDEX(SIE,9)*INDEX(TIJ,9,2)+INDEX(BIJ,20,10)*INDEX(SIE,10)*INDEX(TIJ,10,2)+INDEX(BIJ,20,11)*INDEX(SIE,11)*INDEX(TIJ,11,2)+INDEX(BIJ,20,12)*INDEX(SIE,12)*INDEX(TIJ,12,2)+INDEX(BIJ,20,13)*INDEX(SIE,13)*INDEX(TIJ,13,2)+INDEX(BIJ,20,14)*INDEX(SIE,14)*INDEX(TIJ,14,2)+INDEX(BIJ,20,15)*INDEX(SIE,15)*INDEX(TIJ,15,2)+INDEX(BIJ,20,16)*INDEX(SIE,16)*INDEX(TIJ,16,2)+INDEX(BIJ,20,17)*INDEX(SIE,17)*INDEX(TIJ,17,2)+INDEX(BIJ,20,18)*INDEX(SIE,18)*INDEX(TIJ,18,2)+INDEX(BIJ,20,19)*INDEX(SIE,19)*INDEX(TIJ,19,2))/(INDEX(SIE,20)-INDEX(SIE,2))</f>
        <v>-0.7530996598026793</v>
      </c>
      <c r="D79" s="91">
        <f>(INDEX(BIJ,20,3)*INDEX(SIE,3)*INDEX(TIJ,3,3)+INDEX(BIJ,20,4)*INDEX(SIE,4)*INDEX(TIJ,4,3)+INDEX(BIJ,20,5)*INDEX(SIE,5)*INDEX(TIJ,5,3)+INDEX(BIJ,20,6)*INDEX(SIE,6)*INDEX(TIJ,6,3)+INDEX(BIJ,20,7)*INDEX(SIE,7)*INDEX(TIJ,7,3)+INDEX(BIJ,20,8)*INDEX(SIE,8)*INDEX(TIJ,8,3)+INDEX(BIJ,20,9)*INDEX(SIE,9)*INDEX(TIJ,9,3)+INDEX(BIJ,20,10)*INDEX(SIE,10)*INDEX(TIJ,10,3)+INDEX(BIJ,20,11)*INDEX(SIE,11)*INDEX(TIJ,11,3)+INDEX(BIJ,20,12)*INDEX(SIE,12)*INDEX(TIJ,12,3)+INDEX(BIJ,20,13)*INDEX(SIE,13)*INDEX(TIJ,13,3)+INDEX(BIJ,20,14)*INDEX(SIE,14)*INDEX(TIJ,14,3)+INDEX(BIJ,20,15)*INDEX(SIE,15)*INDEX(TIJ,15,3)+INDEX(BIJ,20,16)*INDEX(SIE,16)*INDEX(TIJ,16,3)+INDEX(BIJ,20,17)*INDEX(SIE,17)*INDEX(TIJ,17,3)+INDEX(BIJ,20,18)*INDEX(SIE,18)*INDEX(TIJ,18,3)+INDEX(BIJ,20,19)*INDEX(SIE,19)*INDEX(TIJ,19,3))/(INDEX(SIE,20)-INDEX(SIE,3))</f>
        <v>-0.07817185515721245</v>
      </c>
      <c r="E79" s="91">
        <f>(INDEX(BIJ,20,4)*INDEX(SIE,4)*INDEX(TIJ,4,4)+INDEX(BIJ,20,5)*INDEX(SIE,5)*INDEX(TIJ,5,4)+INDEX(BIJ,20,6)*INDEX(SIE,6)*INDEX(TIJ,6,4)+INDEX(BIJ,20,7)*INDEX(SIE,7)*INDEX(TIJ,7,4)+INDEX(BIJ,20,8)*INDEX(SIE,8)*INDEX(TIJ,8,4)+INDEX(BIJ,20,9)*INDEX(SIE,9)*INDEX(TIJ,9,4)+INDEX(BIJ,20,10)*INDEX(SIE,10)*INDEX(TIJ,10,4)+INDEX(BIJ,20,11)*INDEX(SIE,11)*INDEX(TIJ,11,4)+INDEX(BIJ,20,12)*INDEX(SIE,12)*INDEX(TIJ,12,4)+INDEX(BIJ,20,13)*INDEX(SIE,13)*INDEX(TIJ,13,4)+INDEX(BIJ,20,14)*INDEX(SIE,14)*INDEX(TIJ,14,4)+INDEX(BIJ,20,15)*INDEX(SIE,15)*INDEX(TIJ,15,4)+INDEX(BIJ,20,16)*INDEX(SIE,16)*INDEX(TIJ,16,4)+INDEX(BIJ,20,17)*INDEX(SIE,17)*INDEX(TIJ,17,4)+INDEX(BIJ,20,18)*INDEX(SIE,18)*INDEX(TIJ,18,4)+INDEX(BIJ,20,19)*INDEX(SIE,19)*INDEX(TIJ,19,4))/(INDEX(SIE,20)-INDEX(SIE,4))</f>
        <v>4.760033320549063</v>
      </c>
      <c r="F79" s="91">
        <f>(INDEX(BIJ,20,5)*INDEX(SIE,5)*INDEX(TIJ,5,5)+INDEX(BIJ,20,6)*INDEX(SIE,6)*INDEX(TIJ,6,5)+INDEX(BIJ,20,7)*INDEX(SIE,7)*INDEX(TIJ,7,5)+INDEX(BIJ,20,8)*INDEX(SIE,8)*INDEX(TIJ,8,5)+INDEX(BIJ,20,9)*INDEX(SIE,9)*INDEX(TIJ,9,5)+INDEX(BIJ,20,10)*INDEX(SIE,10)*INDEX(TIJ,10,5)+INDEX(BIJ,20,11)*INDEX(SIE,11)*INDEX(TIJ,11,5)+INDEX(BIJ,20,12)*INDEX(SIE,12)*INDEX(TIJ,12,5)+INDEX(BIJ,20,13)*INDEX(SIE,13)*INDEX(TIJ,13,5)+INDEX(BIJ,20,14)*INDEX(SIE,14)*INDEX(TIJ,14,5)+INDEX(BIJ,20,15)*INDEX(SIE,15)*INDEX(TIJ,15,5)+INDEX(BIJ,20,16)*INDEX(SIE,16)*INDEX(TIJ,16,5)+INDEX(BIJ,20,17)*INDEX(SIE,17)*INDEX(TIJ,17,5)+INDEX(BIJ,20,18)*INDEX(SIE,18)*INDEX(TIJ,18,5)+INDEX(BIJ,20,19)*INDEX(SIE,19)*INDEX(TIJ,19,5))/(INDEX(SIE,20)-INDEX(SIE,5))</f>
        <v>0.4379660200720679</v>
      </c>
      <c r="G79" s="91">
        <f>(INDEX(BIJ,20,6)*INDEX(SIE,6)*INDEX(TIJ,6,6)+INDEX(BIJ,20,7)*INDEX(SIE,7)*INDEX(TIJ,7,6)+INDEX(BIJ,20,8)*INDEX(SIE,8)*INDEX(TIJ,8,6)+INDEX(BIJ,20,9)*INDEX(SIE,9)*INDEX(TIJ,9,6)+INDEX(BIJ,20,10)*INDEX(SIE,10)*INDEX(TIJ,10,6)+INDEX(BIJ,20,11)*INDEX(SIE,11)*INDEX(TIJ,11,6)+INDEX(BIJ,20,12)*INDEX(SIE,12)*INDEX(TIJ,12,6)+INDEX(BIJ,20,13)*INDEX(SIE,13)*INDEX(TIJ,13,6)+INDEX(BIJ,20,14)*INDEX(SIE,14)*INDEX(TIJ,14,6)+INDEX(BIJ,20,15)*INDEX(SIE,15)*INDEX(TIJ,15,6)+INDEX(BIJ,20,16)*INDEX(SIE,16)*INDEX(TIJ,16,6)+INDEX(BIJ,20,17)*INDEX(SIE,17)*INDEX(TIJ,17,6)+INDEX(BIJ,20,18)*INDEX(SIE,18)*INDEX(TIJ,18,6)+INDEX(BIJ,20,19)*INDEX(SIE,19)*INDEX(TIJ,19,6))/(INDEX(SIE,20)-INDEX(SIE,6))</f>
        <v>0.010797879454105095</v>
      </c>
      <c r="H79" s="91">
        <f>(INDEX(BIJ,20,7)*INDEX(SIE,7)*INDEX(TIJ,7,7)+INDEX(BIJ,20,8)*INDEX(SIE,8)*INDEX(TIJ,8,7)+INDEX(BIJ,20,9)*INDEX(SIE,9)*INDEX(TIJ,9,7)+INDEX(BIJ,20,10)*INDEX(SIE,10)*INDEX(TIJ,10,7)+INDEX(BIJ,20,11)*INDEX(SIE,11)*INDEX(TIJ,11,7)+INDEX(BIJ,20,12)*INDEX(SIE,12)*INDEX(TIJ,12,7)+INDEX(BIJ,20,13)*INDEX(SIE,13)*INDEX(TIJ,13,7)+INDEX(BIJ,20,14)*INDEX(SIE,14)*INDEX(TIJ,14,7)+INDEX(BIJ,20,15)*INDEX(SIE,15)*INDEX(TIJ,15,7)+INDEX(BIJ,20,16)*INDEX(SIE,16)*INDEX(TIJ,16,7)+INDEX(BIJ,20,17)*INDEX(SIE,17)*INDEX(TIJ,17,7)+INDEX(BIJ,20,18)*INDEX(SIE,18)*INDEX(TIJ,18,7)+INDEX(BIJ,20,19)*INDEX(SIE,19)*INDEX(TIJ,19,7))/(INDEX(SIE,20)-INDEX(SIE,7))</f>
        <v>-0.003106870625440277</v>
      </c>
      <c r="I79" s="91">
        <f>(INDEX(BIJ,20,8)*INDEX(SIE,8)*INDEX(TIJ,8,8)+INDEX(BIJ,20,9)*INDEX(SIE,9)*INDEX(TIJ,9,8)+INDEX(BIJ,20,10)*INDEX(SIE,10)*INDEX(TIJ,10,8)+INDEX(BIJ,20,11)*INDEX(SIE,11)*INDEX(TIJ,11,8)+INDEX(BIJ,20,12)*INDEX(SIE,12)*INDEX(TIJ,12,8)+INDEX(BIJ,20,13)*INDEX(SIE,13)*INDEX(TIJ,13,8)+INDEX(BIJ,20,14)*INDEX(SIE,14)*INDEX(TIJ,14,8)+INDEX(BIJ,20,15)*INDEX(SIE,15)*INDEX(TIJ,15,8)+INDEX(BIJ,20,16)*INDEX(SIE,16)*INDEX(TIJ,16,8)+INDEX(BIJ,20,17)*INDEX(SIE,17)*INDEX(TIJ,17,8)+INDEX(BIJ,20,18)*INDEX(SIE,18)*INDEX(TIJ,18,8)+INDEX(BIJ,20,19)*INDEX(SIE,19)*INDEX(TIJ,19,8))/(INDEX(SIE,20)-INDEX(SIE,8))</f>
        <v>0.0037287284436098183</v>
      </c>
      <c r="J79" s="91">
        <f>(INDEX(BIJ,20,9)*INDEX(SIE,9)*INDEX(TIJ,9,9)+INDEX(BIJ,20,10)*INDEX(SIE,10)*INDEX(TIJ,10,9)+INDEX(BIJ,20,11)*INDEX(SIE,11)*INDEX(TIJ,11,9)+INDEX(BIJ,20,12)*INDEX(SIE,12)*INDEX(TIJ,12,9)+INDEX(BIJ,20,13)*INDEX(SIE,13)*INDEX(TIJ,13,9)+INDEX(BIJ,20,14)*INDEX(SIE,14)*INDEX(TIJ,14,9)+INDEX(BIJ,20,15)*INDEX(SIE,15)*INDEX(TIJ,15,9)+INDEX(BIJ,20,16)*INDEX(SIE,16)*INDEX(TIJ,16,9)+INDEX(BIJ,20,17)*INDEX(SIE,17)*INDEX(TIJ,17,9)+INDEX(BIJ,20,18)*INDEX(SIE,18)*INDEX(TIJ,18,9)+INDEX(BIJ,20,19)*INDEX(SIE,19)*INDEX(TIJ,19,9))/(INDEX(SIE,20)-INDEX(SIE,9))</f>
        <v>-0.002519117650059839</v>
      </c>
      <c r="K79" s="91">
        <f>(INDEX(BIJ,20,10)*INDEX(SIE,10)*INDEX(TIJ,10,10)+INDEX(BIJ,20,11)*INDEX(SIE,11)*INDEX(TIJ,11,10)+INDEX(BIJ,20,12)*INDEX(SIE,12)*INDEX(TIJ,12,10)+INDEX(BIJ,20,13)*INDEX(SIE,13)*INDEX(TIJ,13,10)+INDEX(BIJ,20,14)*INDEX(SIE,14)*INDEX(TIJ,14,10)+INDEX(BIJ,20,15)*INDEX(SIE,15)*INDEX(TIJ,15,10)+INDEX(BIJ,20,16)*INDEX(SIE,16)*INDEX(TIJ,16,10)+INDEX(BIJ,20,17)*INDEX(SIE,17)*INDEX(TIJ,17,10)+INDEX(BIJ,20,18)*INDEX(SIE,18)*INDEX(TIJ,18,10)+INDEX(BIJ,20,19)*INDEX(SIE,19)*INDEX(TIJ,19,10))/(INDEX(SIE,20)-INDEX(SIE,10))</f>
        <v>0.0001548825704667436</v>
      </c>
      <c r="L79" s="91">
        <f>(INDEX(BIJ,20,11)*INDEX(SIE,11)*INDEX(TIJ,11,11)+INDEX(BIJ,20,12)*INDEX(SIE,12)*INDEX(TIJ,12,11)+INDEX(BIJ,20,13)*INDEX(SIE,13)*INDEX(TIJ,13,11)+INDEX(BIJ,20,14)*INDEX(SIE,14)*INDEX(TIJ,14,11)+INDEX(BIJ,20,15)*INDEX(SIE,15)*INDEX(TIJ,15,11)+INDEX(BIJ,20,16)*INDEX(SIE,16)*INDEX(TIJ,16,11)+INDEX(BIJ,20,17)*INDEX(SIE,17)*INDEX(TIJ,17,11)+INDEX(BIJ,20,18)*INDEX(SIE,18)*INDEX(TIJ,18,11)+INDEX(BIJ,20,19)*INDEX(SIE,19)*INDEX(TIJ,19,11))/(INDEX(SIE,20)-INDEX(SIE,11))</f>
        <v>-0.0015532923655654702</v>
      </c>
      <c r="M79" s="91">
        <f>(INDEX(BIJ,20,12)*INDEX(SIE,12)*INDEX(TIJ,12,12)+INDEX(BIJ,20,13)*INDEX(SIE,13)*INDEX(TIJ,13,12)+INDEX(BIJ,20,14)*INDEX(SIE,14)*INDEX(TIJ,14,12)+INDEX(BIJ,20,15)*INDEX(SIE,15)*INDEX(TIJ,15,12)+INDEX(BIJ,20,16)*INDEX(SIE,16)*INDEX(TIJ,16,12)+INDEX(BIJ,20,17)*INDEX(SIE,17)*INDEX(TIJ,17,12)+INDEX(BIJ,20,18)*INDEX(SIE,18)*INDEX(TIJ,18,12)+INDEX(BIJ,20,19)*INDEX(SIE,19)*INDEX(TIJ,19,12))/(INDEX(SIE,20)-INDEX(SIE,12))</f>
        <v>-0.001295560683593781</v>
      </c>
      <c r="N79" s="91">
        <f>(INDEX(BIJ,20,13)*INDEX(SIE,13)*INDEX(TIJ,13,13)+INDEX(BIJ,20,14)*INDEX(SIE,14)*INDEX(TIJ,14,13)+INDEX(BIJ,20,15)*INDEX(SIE,15)*INDEX(TIJ,15,13)+INDEX(BIJ,20,16)*INDEX(SIE,16)*INDEX(TIJ,16,13)+INDEX(BIJ,20,17)*INDEX(SIE,17)*INDEX(TIJ,17,13)+INDEX(BIJ,20,18)*INDEX(SIE,18)*INDEX(TIJ,18,13)+INDEX(BIJ,20,19)*INDEX(SIE,19)*INDEX(TIJ,19,13))/(INDEX(SIE,20)-INDEX(SIE,13))</f>
        <v>-0.0014390457411183287</v>
      </c>
      <c r="O79" s="91">
        <f>(INDEX(BIJ,20,14)*INDEX(SIE,14)*INDEX(TIJ,14,14)+INDEX(BIJ,20,15)*INDEX(SIE,15)*INDEX(TIJ,15,14)+INDEX(BIJ,20,16)*INDEX(SIE,16)*INDEX(TIJ,16,14)+INDEX(BIJ,20,17)*INDEX(SIE,17)*INDEX(TIJ,17,14)+INDEX(BIJ,20,18)*INDEX(SIE,18)*INDEX(TIJ,18,14)+INDEX(BIJ,20,19)*INDEX(SIE,19)*INDEX(TIJ,19,14))/(INDEX(SIE,20)-INDEX(SIE,14))</f>
        <v>0.0001450507463512734</v>
      </c>
      <c r="P79" s="91">
        <f>(INDEX(BIJ,20,15)*INDEX(SIE,15)*INDEX(TIJ,15,15)+INDEX(BIJ,20,16)*INDEX(SIE,16)*INDEX(TIJ,16,15)+INDEX(BIJ,20,17)*INDEX(SIE,17)*INDEX(TIJ,17,15)+INDEX(BIJ,20,18)*INDEX(SIE,18)*INDEX(TIJ,18,15)+INDEX(BIJ,20,19)*INDEX(SIE,19)*INDEX(TIJ,19,15))/(INDEX(SIE,20)-INDEX(SIE,15))</f>
        <v>-0.08826605333640063</v>
      </c>
      <c r="Q79" s="91">
        <f>(INDEX(BIJ,20,16)*INDEX(SIE,16)*INDEX(TIJ,16,16)+INDEX(BIJ,20,17)*INDEX(SIE,17)*INDEX(TIJ,17,16)+INDEX(BIJ,20,18)*INDEX(SIE,18)*INDEX(TIJ,18,16)+INDEX(BIJ,20,19)*INDEX(SIE,19)*INDEX(TIJ,19,16))/(INDEX(SIE,20)-INDEX(SIE,16))</f>
        <v>0.5691027715696343</v>
      </c>
      <c r="R79" s="91">
        <f>(INDEX(BIJ,20,17)*INDEX(SIE,17)*INDEX(TIJ,17,17)+INDEX(BIJ,20,18)*INDEX(SIE,18)*INDEX(TIJ,18,17)+INDEX(BIJ,20,19)*INDEX(SIE,19)*INDEX(TIJ,19,17))/(INDEX(SIE,20)-INDEX(SIE,17))</f>
        <v>-1.5942267828928591</v>
      </c>
      <c r="S79" s="91">
        <f>(INDEX(BIJ,20,18)*INDEX(SIE,18)*INDEX(TIJ,18,18)+INDEX(BIJ,20,19)*INDEX(SIE,19)*INDEX(TIJ,19,18))/(INDEX(SIE,20)-INDEX(SIE,18))</f>
        <v>2.0494002976838734</v>
      </c>
      <c r="T79" s="91">
        <f>(INDEX(BIJ,20,19)*INDEX(SIE,19)*INDEX(TIJ,19,19))/(INDEX(SIE,20)-INDEX(SIE,19))</f>
        <v>-1</v>
      </c>
      <c r="U79" s="91">
        <v>1</v>
      </c>
      <c r="W79" s="93">
        <f t="shared" si="40"/>
        <v>20</v>
      </c>
      <c r="X79" s="91">
        <f>Model!$E28</f>
        <v>0</v>
      </c>
    </row>
    <row r="82" ht="12.75">
      <c r="B82" s="91" t="s">
        <v>14</v>
      </c>
    </row>
    <row r="83" spans="2:21" ht="12.75">
      <c r="B83" s="93">
        <v>1</v>
      </c>
      <c r="C83" s="93">
        <f aca="true" t="shared" si="41" ref="C83:U83">B83+1</f>
        <v>2</v>
      </c>
      <c r="D83" s="93">
        <f t="shared" si="41"/>
        <v>3</v>
      </c>
      <c r="E83" s="93">
        <f t="shared" si="41"/>
        <v>4</v>
      </c>
      <c r="F83" s="93">
        <f t="shared" si="41"/>
        <v>5</v>
      </c>
      <c r="G83" s="93">
        <f t="shared" si="41"/>
        <v>6</v>
      </c>
      <c r="H83" s="93">
        <f t="shared" si="41"/>
        <v>7</v>
      </c>
      <c r="I83" s="93">
        <f t="shared" si="41"/>
        <v>8</v>
      </c>
      <c r="J83" s="93">
        <f t="shared" si="41"/>
        <v>9</v>
      </c>
      <c r="K83" s="93">
        <f t="shared" si="41"/>
        <v>10</v>
      </c>
      <c r="L83" s="93">
        <f t="shared" si="41"/>
        <v>11</v>
      </c>
      <c r="M83" s="93">
        <f t="shared" si="41"/>
        <v>12</v>
      </c>
      <c r="N83" s="93">
        <f t="shared" si="41"/>
        <v>13</v>
      </c>
      <c r="O83" s="93">
        <f t="shared" si="41"/>
        <v>14</v>
      </c>
      <c r="P83" s="93">
        <f t="shared" si="41"/>
        <v>15</v>
      </c>
      <c r="Q83" s="93">
        <f t="shared" si="41"/>
        <v>16</v>
      </c>
      <c r="R83" s="93">
        <f t="shared" si="41"/>
        <v>17</v>
      </c>
      <c r="S83" s="93">
        <f t="shared" si="41"/>
        <v>18</v>
      </c>
      <c r="T83" s="93">
        <f t="shared" si="41"/>
        <v>19</v>
      </c>
      <c r="U83" s="93">
        <f t="shared" si="41"/>
        <v>20</v>
      </c>
    </row>
    <row r="84" spans="1:21" ht="12.75">
      <c r="A84" s="93">
        <v>1</v>
      </c>
      <c r="B84" s="91">
        <f>Model!$E9</f>
        <v>0.27970585808385934</v>
      </c>
      <c r="C84" s="91">
        <f>Model!$E10</f>
        <v>0.49950546979373706</v>
      </c>
      <c r="D84" s="91">
        <f>Model!$E11</f>
        <v>0.8323668389034689</v>
      </c>
      <c r="E84" s="91">
        <f>Model!$E12</f>
        <v>1.1913792635157423</v>
      </c>
      <c r="F84" s="91">
        <f>Model!$E13</f>
        <v>1.4877832796288644</v>
      </c>
      <c r="G84" s="91">
        <f>Model!$E14</f>
        <v>1.5571538796653868</v>
      </c>
      <c r="H84" s="91">
        <f>Model!$E15</f>
        <v>1.4284064738264983</v>
      </c>
      <c r="I84" s="91">
        <f>Model!$E16</f>
        <v>1.2214914657409541</v>
      </c>
      <c r="J84" s="91">
        <f>Model!$E17</f>
        <v>1.0039104153538159</v>
      </c>
      <c r="K84" s="91">
        <f>Model!$E18</f>
        <v>0.811495676068215</v>
      </c>
      <c r="L84" s="91">
        <f>Model!$E19</f>
        <v>0.6547717291315082</v>
      </c>
      <c r="M84" s="91">
        <f>Model!$E20</f>
        <v>0.5238985057284355</v>
      </c>
      <c r="N84" s="91">
        <f>Model!$E21</f>
        <v>0.4186298273284206</v>
      </c>
      <c r="O84" s="91">
        <f>Model!$E22</f>
        <v>0.3340712187701149</v>
      </c>
      <c r="P84" s="91">
        <f>Model!$E23</f>
        <v>0.26673377846719976</v>
      </c>
      <c r="Q84" s="91">
        <f>Model!$E24</f>
        <v>0.21294834101454668</v>
      </c>
      <c r="R84" s="91">
        <f>Model!$E25</f>
        <v>0.17000141798519863</v>
      </c>
      <c r="S84" s="91">
        <f>Model!$E26</f>
        <v>0.13571356983641714</v>
      </c>
      <c r="T84" s="91">
        <f>Model!$E27</f>
        <v>0.10880786995103661</v>
      </c>
      <c r="U84" s="91">
        <f>Model!$E28</f>
        <v>0</v>
      </c>
    </row>
    <row r="87" ht="12.75">
      <c r="B87" s="91" t="s">
        <v>15</v>
      </c>
    </row>
    <row r="88" spans="2:21" ht="12.75">
      <c r="B88" s="93">
        <v>1</v>
      </c>
      <c r="C88" s="93">
        <f aca="true" t="shared" si="42" ref="C88:U88">B88+1</f>
        <v>2</v>
      </c>
      <c r="D88" s="93">
        <f t="shared" si="42"/>
        <v>3</v>
      </c>
      <c r="E88" s="93">
        <f t="shared" si="42"/>
        <v>4</v>
      </c>
      <c r="F88" s="93">
        <f t="shared" si="42"/>
        <v>5</v>
      </c>
      <c r="G88" s="93">
        <f t="shared" si="42"/>
        <v>6</v>
      </c>
      <c r="H88" s="93">
        <f t="shared" si="42"/>
        <v>7</v>
      </c>
      <c r="I88" s="93">
        <f t="shared" si="42"/>
        <v>8</v>
      </c>
      <c r="J88" s="93">
        <f t="shared" si="42"/>
        <v>9</v>
      </c>
      <c r="K88" s="93">
        <f t="shared" si="42"/>
        <v>10</v>
      </c>
      <c r="L88" s="93">
        <f t="shared" si="42"/>
        <v>11</v>
      </c>
      <c r="M88" s="93">
        <f t="shared" si="42"/>
        <v>12</v>
      </c>
      <c r="N88" s="93">
        <f t="shared" si="42"/>
        <v>13</v>
      </c>
      <c r="O88" s="93">
        <f t="shared" si="42"/>
        <v>14</v>
      </c>
      <c r="P88" s="93">
        <f t="shared" si="42"/>
        <v>15</v>
      </c>
      <c r="Q88" s="93">
        <f t="shared" si="42"/>
        <v>16</v>
      </c>
      <c r="R88" s="93">
        <f t="shared" si="42"/>
        <v>17</v>
      </c>
      <c r="S88" s="93">
        <f t="shared" si="42"/>
        <v>18</v>
      </c>
      <c r="T88" s="93">
        <f t="shared" si="42"/>
        <v>19</v>
      </c>
      <c r="U88" s="93">
        <f t="shared" si="42"/>
        <v>20</v>
      </c>
    </row>
    <row r="89" spans="1:21" ht="12.75">
      <c r="A89" s="93">
        <v>1</v>
      </c>
      <c r="B89" s="91">
        <f>Model!AI9</f>
        <v>0</v>
      </c>
      <c r="C89" s="91">
        <f>Model!AJ9</f>
        <v>0</v>
      </c>
      <c r="D89" s="91">
        <f>Model!AK9</f>
        <v>0</v>
      </c>
      <c r="E89" s="91">
        <f>Model!AL9</f>
        <v>0</v>
      </c>
      <c r="F89" s="91">
        <f>Model!AM9</f>
        <v>0</v>
      </c>
      <c r="G89" s="91">
        <f>Model!AN9</f>
        <v>0</v>
      </c>
      <c r="H89" s="91">
        <f>Model!AO9</f>
        <v>0</v>
      </c>
      <c r="I89" s="91">
        <f>Model!AP9</f>
        <v>0</v>
      </c>
      <c r="J89" s="91">
        <f>Model!AQ9</f>
        <v>0</v>
      </c>
      <c r="K89" s="91">
        <f>Model!AR9</f>
        <v>0</v>
      </c>
      <c r="L89" s="91">
        <f>Model!AS9</f>
        <v>0</v>
      </c>
      <c r="M89" s="91">
        <f>Model!AT9</f>
        <v>0</v>
      </c>
      <c r="N89" s="91">
        <f>Model!AU9</f>
        <v>0</v>
      </c>
      <c r="O89" s="91">
        <f>Model!AV9</f>
        <v>0</v>
      </c>
      <c r="P89" s="91">
        <f>Model!AW9</f>
        <v>0</v>
      </c>
      <c r="Q89" s="91">
        <f>Model!AX9</f>
        <v>0</v>
      </c>
      <c r="R89" s="91">
        <f>Model!AY9</f>
        <v>0</v>
      </c>
      <c r="S89" s="91">
        <f>Model!AZ9</f>
        <v>0</v>
      </c>
      <c r="T89" s="91">
        <f>Model!BA9</f>
        <v>0</v>
      </c>
      <c r="U89" s="91">
        <f>Model!BB9</f>
        <v>0</v>
      </c>
    </row>
    <row r="90" spans="1:21" ht="12.75">
      <c r="A90" s="93">
        <f aca="true" t="shared" si="43" ref="A90:A108">A89+1</f>
        <v>2</v>
      </c>
      <c r="B90" s="91">
        <f>Model!AI10</f>
        <v>0.6612549079200063</v>
      </c>
      <c r="C90" s="91">
        <f>Model!AJ10</f>
        <v>0</v>
      </c>
      <c r="D90" s="91">
        <f>Model!AK10</f>
        <v>0</v>
      </c>
      <c r="E90" s="91">
        <f>Model!AL10</f>
        <v>0</v>
      </c>
      <c r="F90" s="91">
        <f>Model!AM10</f>
        <v>0</v>
      </c>
      <c r="G90" s="91">
        <f>Model!AN10</f>
        <v>0</v>
      </c>
      <c r="H90" s="91">
        <f>Model!AO10</f>
        <v>0</v>
      </c>
      <c r="I90" s="91">
        <f>Model!AP10</f>
        <v>0</v>
      </c>
      <c r="J90" s="91">
        <f>Model!AQ10</f>
        <v>0</v>
      </c>
      <c r="K90" s="91">
        <f>Model!AR10</f>
        <v>0</v>
      </c>
      <c r="L90" s="91">
        <f>Model!AS10</f>
        <v>0</v>
      </c>
      <c r="M90" s="91">
        <f>Model!AT10</f>
        <v>0</v>
      </c>
      <c r="N90" s="91">
        <f>Model!AU10</f>
        <v>0</v>
      </c>
      <c r="O90" s="91">
        <f>Model!AV10</f>
        <v>0</v>
      </c>
      <c r="P90" s="91">
        <f>Model!AW10</f>
        <v>0</v>
      </c>
      <c r="Q90" s="91">
        <f>Model!AX10</f>
        <v>0</v>
      </c>
      <c r="R90" s="91">
        <f>Model!AY10</f>
        <v>0</v>
      </c>
      <c r="S90" s="91">
        <f>Model!AZ10</f>
        <v>0</v>
      </c>
      <c r="T90" s="91">
        <f>Model!BA10</f>
        <v>0</v>
      </c>
      <c r="U90" s="91">
        <f>Model!BB10</f>
        <v>0</v>
      </c>
    </row>
    <row r="91" spans="1:21" ht="12.75">
      <c r="A91" s="93">
        <f t="shared" si="43"/>
        <v>3</v>
      </c>
      <c r="B91" s="91">
        <f>Model!AI11</f>
        <v>0.12119914299837367</v>
      </c>
      <c r="C91" s="91">
        <f>Model!AJ11</f>
        <v>0.563523311278395</v>
      </c>
      <c r="D91" s="91">
        <f>Model!AK11</f>
        <v>0</v>
      </c>
      <c r="E91" s="91">
        <f>Model!AL11</f>
        <v>0</v>
      </c>
      <c r="F91" s="91">
        <f>Model!AM11</f>
        <v>0</v>
      </c>
      <c r="G91" s="91">
        <f>Model!AN11</f>
        <v>0</v>
      </c>
      <c r="H91" s="91">
        <f>Model!AO11</f>
        <v>0</v>
      </c>
      <c r="I91" s="91">
        <f>Model!AP11</f>
        <v>0</v>
      </c>
      <c r="J91" s="91">
        <f>Model!AQ11</f>
        <v>0</v>
      </c>
      <c r="K91" s="91">
        <f>Model!AR11</f>
        <v>0</v>
      </c>
      <c r="L91" s="91">
        <f>Model!AS11</f>
        <v>0</v>
      </c>
      <c r="M91" s="91">
        <f>Model!AT11</f>
        <v>0</v>
      </c>
      <c r="N91" s="91">
        <f>Model!AU11</f>
        <v>0</v>
      </c>
      <c r="O91" s="91">
        <f>Model!AV11</f>
        <v>0</v>
      </c>
      <c r="P91" s="91">
        <f>Model!AW11</f>
        <v>0</v>
      </c>
      <c r="Q91" s="91">
        <f>Model!AX11</f>
        <v>0</v>
      </c>
      <c r="R91" s="91">
        <f>Model!AY11</f>
        <v>0</v>
      </c>
      <c r="S91" s="91">
        <f>Model!AZ11</f>
        <v>0</v>
      </c>
      <c r="T91" s="91">
        <f>Model!BA11</f>
        <v>0</v>
      </c>
      <c r="U91" s="91">
        <f>Model!BB11</f>
        <v>0</v>
      </c>
    </row>
    <row r="92" spans="1:21" ht="12.75">
      <c r="A92" s="93">
        <f t="shared" si="43"/>
        <v>4</v>
      </c>
      <c r="B92" s="91">
        <f>Model!AI12</f>
        <v>0.05128593262878475</v>
      </c>
      <c r="C92" s="91">
        <f>Model!AJ12</f>
        <v>0.20405741505492503</v>
      </c>
      <c r="D92" s="91">
        <f>Model!AK12</f>
        <v>0.6187965309474656</v>
      </c>
      <c r="E92" s="91">
        <f>Model!AL12</f>
        <v>0</v>
      </c>
      <c r="F92" s="91">
        <f>Model!AM12</f>
        <v>0</v>
      </c>
      <c r="G92" s="91">
        <f>Model!AN12</f>
        <v>0</v>
      </c>
      <c r="H92" s="91">
        <f>Model!AO12</f>
        <v>0</v>
      </c>
      <c r="I92" s="91">
        <f>Model!AP12</f>
        <v>0</v>
      </c>
      <c r="J92" s="91">
        <f>Model!AQ12</f>
        <v>0</v>
      </c>
      <c r="K92" s="91">
        <f>Model!AR12</f>
        <v>0</v>
      </c>
      <c r="L92" s="91">
        <f>Model!AS12</f>
        <v>0</v>
      </c>
      <c r="M92" s="91">
        <f>Model!AT12</f>
        <v>0</v>
      </c>
      <c r="N92" s="91">
        <f>Model!AU12</f>
        <v>0</v>
      </c>
      <c r="O92" s="91">
        <f>Model!AV12</f>
        <v>0</v>
      </c>
      <c r="P92" s="91">
        <f>Model!AW12</f>
        <v>0</v>
      </c>
      <c r="Q92" s="91">
        <f>Model!AX12</f>
        <v>0</v>
      </c>
      <c r="R92" s="91">
        <f>Model!AY12</f>
        <v>0</v>
      </c>
      <c r="S92" s="91">
        <f>Model!AZ12</f>
        <v>0</v>
      </c>
      <c r="T92" s="91">
        <f>Model!BA12</f>
        <v>0</v>
      </c>
      <c r="U92" s="91">
        <f>Model!BB12</f>
        <v>0</v>
      </c>
    </row>
    <row r="93" spans="1:21" ht="12.75">
      <c r="A93" s="93">
        <f t="shared" si="43"/>
        <v>5</v>
      </c>
      <c r="B93" s="91">
        <f>Model!AI13</f>
        <v>0.021839227313826787</v>
      </c>
      <c r="C93" s="91">
        <f>Model!AJ13</f>
        <v>0.060358739987128734</v>
      </c>
      <c r="D93" s="91">
        <f>Model!AK13</f>
        <v>0.16302418600179153</v>
      </c>
      <c r="E93" s="91">
        <f>Model!AL13</f>
        <v>0.614379963335173</v>
      </c>
      <c r="F93" s="91">
        <f>Model!AM13</f>
        <v>0</v>
      </c>
      <c r="G93" s="91">
        <f>Model!AN13</f>
        <v>0</v>
      </c>
      <c r="H93" s="91">
        <f>Model!AO13</f>
        <v>0</v>
      </c>
      <c r="I93" s="91">
        <f>Model!AP13</f>
        <v>0</v>
      </c>
      <c r="J93" s="91">
        <f>Model!AQ13</f>
        <v>0</v>
      </c>
      <c r="K93" s="91">
        <f>Model!AR13</f>
        <v>0</v>
      </c>
      <c r="L93" s="91">
        <f>Model!AS13</f>
        <v>0</v>
      </c>
      <c r="M93" s="91">
        <f>Model!AT13</f>
        <v>0</v>
      </c>
      <c r="N93" s="91">
        <f>Model!AU13</f>
        <v>0</v>
      </c>
      <c r="O93" s="91">
        <f>Model!AV13</f>
        <v>0</v>
      </c>
      <c r="P93" s="91">
        <f>Model!AW13</f>
        <v>0</v>
      </c>
      <c r="Q93" s="91">
        <f>Model!AX13</f>
        <v>0</v>
      </c>
      <c r="R93" s="91">
        <f>Model!AY13</f>
        <v>0</v>
      </c>
      <c r="S93" s="91">
        <f>Model!AZ13</f>
        <v>0</v>
      </c>
      <c r="T93" s="91">
        <f>Model!BA13</f>
        <v>0</v>
      </c>
      <c r="U93" s="91">
        <f>Model!BB13</f>
        <v>0</v>
      </c>
    </row>
    <row r="94" spans="1:21" ht="12.75">
      <c r="A94" s="93">
        <f t="shared" si="43"/>
        <v>6</v>
      </c>
      <c r="B94" s="91">
        <f>Model!AI14</f>
        <v>0.01414152063871954</v>
      </c>
      <c r="C94" s="91">
        <f>Model!AJ14</f>
        <v>0.02485642775041988</v>
      </c>
      <c r="D94" s="91">
        <f>Model!AK14</f>
        <v>0.05168867811473438</v>
      </c>
      <c r="E94" s="91">
        <f>Model!AL14</f>
        <v>0.16744075361408411</v>
      </c>
      <c r="F94" s="91">
        <f>Model!AM14</f>
        <v>0.6187965309474656</v>
      </c>
      <c r="G94" s="91">
        <f>Model!AN14</f>
        <v>0</v>
      </c>
      <c r="H94" s="91">
        <f>Model!AO14</f>
        <v>0</v>
      </c>
      <c r="I94" s="91">
        <f>Model!AP14</f>
        <v>0</v>
      </c>
      <c r="J94" s="91">
        <f>Model!AQ14</f>
        <v>0</v>
      </c>
      <c r="K94" s="91">
        <f>Model!AR14</f>
        <v>0</v>
      </c>
      <c r="L94" s="91">
        <f>Model!AS14</f>
        <v>0</v>
      </c>
      <c r="M94" s="91">
        <f>Model!AT14</f>
        <v>0</v>
      </c>
      <c r="N94" s="91">
        <f>Model!AU14</f>
        <v>0</v>
      </c>
      <c r="O94" s="91">
        <f>Model!AV14</f>
        <v>0</v>
      </c>
      <c r="P94" s="91">
        <f>Model!AW14</f>
        <v>0</v>
      </c>
      <c r="Q94" s="91">
        <f>Model!AX14</f>
        <v>0</v>
      </c>
      <c r="R94" s="91">
        <f>Model!AY14</f>
        <v>0</v>
      </c>
      <c r="S94" s="91">
        <f>Model!AZ14</f>
        <v>0</v>
      </c>
      <c r="T94" s="91">
        <f>Model!BA14</f>
        <v>0</v>
      </c>
      <c r="U94" s="91">
        <f>Model!BB14</f>
        <v>0</v>
      </c>
    </row>
    <row r="95" spans="1:21" ht="12.75">
      <c r="A95" s="93">
        <f t="shared" si="43"/>
        <v>7</v>
      </c>
      <c r="B95" s="91">
        <f>Model!AI15</f>
        <v>0.011436324683899629</v>
      </c>
      <c r="C95" s="91">
        <f>Model!AJ15</f>
        <v>0.014937360139199274</v>
      </c>
      <c r="D95" s="91">
        <f>Model!AK15</f>
        <v>0.022246278985090046</v>
      </c>
      <c r="E95" s="91">
        <f>Model!AL15</f>
        <v>0.051786633328639864</v>
      </c>
      <c r="F95" s="91">
        <f>Model!AM15</f>
        <v>0.16454160493321668</v>
      </c>
      <c r="G95" s="91">
        <f>Model!AN15</f>
        <v>0.6197279265711453</v>
      </c>
      <c r="H95" s="91">
        <f>Model!AO15</f>
        <v>0</v>
      </c>
      <c r="I95" s="91">
        <f>Model!AP15</f>
        <v>0</v>
      </c>
      <c r="J95" s="91">
        <f>Model!AQ15</f>
        <v>0</v>
      </c>
      <c r="K95" s="91">
        <f>Model!AR15</f>
        <v>0</v>
      </c>
      <c r="L95" s="91">
        <f>Model!AS15</f>
        <v>0</v>
      </c>
      <c r="M95" s="91">
        <f>Model!AT15</f>
        <v>0</v>
      </c>
      <c r="N95" s="91">
        <f>Model!AU15</f>
        <v>0</v>
      </c>
      <c r="O95" s="91">
        <f>Model!AV15</f>
        <v>0</v>
      </c>
      <c r="P95" s="91">
        <f>Model!AW15</f>
        <v>0</v>
      </c>
      <c r="Q95" s="91">
        <f>Model!AX15</f>
        <v>0</v>
      </c>
      <c r="R95" s="91">
        <f>Model!AY15</f>
        <v>0</v>
      </c>
      <c r="S95" s="91">
        <f>Model!AZ15</f>
        <v>0</v>
      </c>
      <c r="T95" s="91">
        <f>Model!BA15</f>
        <v>0</v>
      </c>
      <c r="U95" s="91">
        <f>Model!BB15</f>
        <v>0</v>
      </c>
    </row>
    <row r="96" spans="1:21" ht="12.75">
      <c r="A96" s="93">
        <f t="shared" si="43"/>
        <v>8</v>
      </c>
      <c r="B96" s="91">
        <f>Model!AI16</f>
        <v>0.009480047783217288</v>
      </c>
      <c r="C96" s="91">
        <f>Model!AJ16</f>
        <v>0.011036108517348653</v>
      </c>
      <c r="D96" s="91">
        <f>Model!AK16</f>
        <v>0.013343752382956764</v>
      </c>
      <c r="E96" s="91">
        <f>Model!AL16</f>
        <v>0.021130744144336827</v>
      </c>
      <c r="F96" s="91">
        <f>Model!AM16</f>
        <v>0.048844158612902616</v>
      </c>
      <c r="G96" s="91">
        <f>Model!AN16</f>
        <v>0.1584161656785177</v>
      </c>
      <c r="H96" s="91">
        <f>Model!AO16</f>
        <v>0.6003511320954933</v>
      </c>
      <c r="I96" s="91">
        <f>Model!AP16</f>
        <v>0</v>
      </c>
      <c r="J96" s="91">
        <f>Model!AQ16</f>
        <v>0</v>
      </c>
      <c r="K96" s="91">
        <f>Model!AR16</f>
        <v>0</v>
      </c>
      <c r="L96" s="91">
        <f>Model!AS16</f>
        <v>0</v>
      </c>
      <c r="M96" s="91">
        <f>Model!AT16</f>
        <v>0</v>
      </c>
      <c r="N96" s="91">
        <f>Model!AU16</f>
        <v>0</v>
      </c>
      <c r="O96" s="91">
        <f>Model!AV16</f>
        <v>0</v>
      </c>
      <c r="P96" s="91">
        <f>Model!AW16</f>
        <v>0</v>
      </c>
      <c r="Q96" s="91">
        <f>Model!AX16</f>
        <v>0</v>
      </c>
      <c r="R96" s="91">
        <f>Model!AY16</f>
        <v>0</v>
      </c>
      <c r="S96" s="91">
        <f>Model!AZ16</f>
        <v>0</v>
      </c>
      <c r="T96" s="91">
        <f>Model!BA16</f>
        <v>0</v>
      </c>
      <c r="U96" s="91">
        <f>Model!BB16</f>
        <v>0</v>
      </c>
    </row>
    <row r="97" spans="1:21" ht="12.75">
      <c r="A97" s="93">
        <f t="shared" si="43"/>
        <v>9</v>
      </c>
      <c r="B97" s="91">
        <f>Model!AI17</f>
        <v>0.009574966548512767</v>
      </c>
      <c r="C97" s="91">
        <f>Model!AJ17</f>
        <v>0.010750551871057196</v>
      </c>
      <c r="D97" s="91">
        <f>Model!AK17</f>
        <v>0.011977653136971203</v>
      </c>
      <c r="E97" s="91">
        <f>Model!AL17</f>
        <v>0.014928971254715206</v>
      </c>
      <c r="F97" s="91">
        <f>Model!AM17</f>
        <v>0.023573379555496654</v>
      </c>
      <c r="G97" s="91">
        <f>Model!AN17</f>
        <v>0.05546325802823396</v>
      </c>
      <c r="H97" s="91">
        <f>Model!AO17</f>
        <v>0.1814695848537638</v>
      </c>
      <c r="I97" s="91">
        <f>Model!AP17</f>
        <v>0.6317428387530193</v>
      </c>
      <c r="J97" s="91">
        <f>Model!AQ17</f>
        <v>0</v>
      </c>
      <c r="K97" s="91">
        <f>Model!AR17</f>
        <v>0</v>
      </c>
      <c r="L97" s="91">
        <f>Model!AS17</f>
        <v>0</v>
      </c>
      <c r="M97" s="91">
        <f>Model!AT17</f>
        <v>0</v>
      </c>
      <c r="N97" s="91">
        <f>Model!AU17</f>
        <v>0</v>
      </c>
      <c r="O97" s="91">
        <f>Model!AV17</f>
        <v>0</v>
      </c>
      <c r="P97" s="91">
        <f>Model!AW17</f>
        <v>0</v>
      </c>
      <c r="Q97" s="91">
        <f>Model!AX17</f>
        <v>0</v>
      </c>
      <c r="R97" s="91">
        <f>Model!AY17</f>
        <v>0</v>
      </c>
      <c r="S97" s="91">
        <f>Model!AZ17</f>
        <v>0</v>
      </c>
      <c r="T97" s="91">
        <f>Model!BA17</f>
        <v>0</v>
      </c>
      <c r="U97" s="91">
        <f>Model!BB17</f>
        <v>0</v>
      </c>
    </row>
    <row r="98" spans="1:21" ht="12.75">
      <c r="A98" s="93">
        <f t="shared" si="43"/>
        <v>10</v>
      </c>
      <c r="B98" s="91">
        <f>Model!AI18</f>
        <v>0.007864554016840622</v>
      </c>
      <c r="C98" s="91">
        <f>Model!AJ18</f>
        <v>0.008737604176804484</v>
      </c>
      <c r="D98" s="91">
        <f>Model!AK18</f>
        <v>0.00948764320106675</v>
      </c>
      <c r="E98" s="91">
        <f>Model!AL18</f>
        <v>0.010763714396805776</v>
      </c>
      <c r="F98" s="91">
        <f>Model!AM18</f>
        <v>0.013343752382956764</v>
      </c>
      <c r="G98" s="91">
        <f>Model!AN18</f>
        <v>0.021130744144336827</v>
      </c>
      <c r="H98" s="91">
        <f>Model!AO18</f>
        <v>0.04977946721055165</v>
      </c>
      <c r="I98" s="91">
        <f>Model!AP18</f>
        <v>0.1500778781962378</v>
      </c>
      <c r="J98" s="91">
        <f>Model!AQ18</f>
        <v>0.6003511320954933</v>
      </c>
      <c r="K98" s="91">
        <f>Model!AR18</f>
        <v>0</v>
      </c>
      <c r="L98" s="91">
        <f>Model!AS18</f>
        <v>0</v>
      </c>
      <c r="M98" s="91">
        <f>Model!AT18</f>
        <v>0</v>
      </c>
      <c r="N98" s="91">
        <f>Model!AU18</f>
        <v>0</v>
      </c>
      <c r="O98" s="91">
        <f>Model!AV18</f>
        <v>0</v>
      </c>
      <c r="P98" s="91">
        <f>Model!AW18</f>
        <v>0</v>
      </c>
      <c r="Q98" s="91">
        <f>Model!AX18</f>
        <v>0</v>
      </c>
      <c r="R98" s="91">
        <f>Model!AY18</f>
        <v>0</v>
      </c>
      <c r="S98" s="91">
        <f>Model!AZ18</f>
        <v>0</v>
      </c>
      <c r="T98" s="91">
        <f>Model!BA18</f>
        <v>0</v>
      </c>
      <c r="U98" s="91">
        <f>Model!BB18</f>
        <v>0</v>
      </c>
    </row>
    <row r="99" spans="1:21" ht="12.75">
      <c r="A99" s="93">
        <f t="shared" si="43"/>
        <v>11</v>
      </c>
      <c r="B99" s="91">
        <f>Model!AI19</f>
        <v>0.0076679024367787285</v>
      </c>
      <c r="C99" s="91">
        <f>Model!AJ19</f>
        <v>0.008495358350484317</v>
      </c>
      <c r="D99" s="91">
        <f>Model!AK19</f>
        <v>0.009160422599576584</v>
      </c>
      <c r="E99" s="91">
        <f>Model!AL19</f>
        <v>0.010109761522585803</v>
      </c>
      <c r="F99" s="91">
        <f>Model!AM19</f>
        <v>0.011464473676513778</v>
      </c>
      <c r="G99" s="91">
        <f>Model!AN19</f>
        <v>0.014329905300158874</v>
      </c>
      <c r="H99" s="91">
        <f>Model!AO19</f>
        <v>0.023040676181279474</v>
      </c>
      <c r="I99" s="91">
        <f>Model!AP19</f>
        <v>0.0516113618568827</v>
      </c>
      <c r="J99" s="91">
        <f>Model!AQ19</f>
        <v>0.17728445532080253</v>
      </c>
      <c r="K99" s="91">
        <f>Model!AR19</f>
        <v>0.618060325752674</v>
      </c>
      <c r="L99" s="91">
        <f>Model!AS19</f>
        <v>0</v>
      </c>
      <c r="M99" s="91">
        <f>Model!AT19</f>
        <v>0</v>
      </c>
      <c r="N99" s="91">
        <f>Model!AU19</f>
        <v>0</v>
      </c>
      <c r="O99" s="91">
        <f>Model!AV19</f>
        <v>0</v>
      </c>
      <c r="P99" s="91">
        <f>Model!AW19</f>
        <v>0</v>
      </c>
      <c r="Q99" s="91">
        <f>Model!AX19</f>
        <v>0</v>
      </c>
      <c r="R99" s="91">
        <f>Model!AY19</f>
        <v>0</v>
      </c>
      <c r="S99" s="91">
        <f>Model!AZ19</f>
        <v>0</v>
      </c>
      <c r="T99" s="91">
        <f>Model!BA19</f>
        <v>0</v>
      </c>
      <c r="U99" s="91">
        <f>Model!BB19</f>
        <v>0</v>
      </c>
    </row>
    <row r="100" spans="1:21" ht="12.75">
      <c r="A100" s="93">
        <f t="shared" si="43"/>
        <v>12</v>
      </c>
      <c r="B100" s="91">
        <f>Model!AI20</f>
        <v>0.006959904357644986</v>
      </c>
      <c r="C100" s="91">
        <f>Model!AJ20</f>
        <v>0.0077047305756453716</v>
      </c>
      <c r="D100" s="91">
        <f>Model!AK20</f>
        <v>0.008291031420284756</v>
      </c>
      <c r="E100" s="91">
        <f>Model!AL20</f>
        <v>0.009075442227185662</v>
      </c>
      <c r="F100" s="91">
        <f>Model!AM20</f>
        <v>0.010000822661524175</v>
      </c>
      <c r="G100" s="91">
        <f>Model!AN20</f>
        <v>0.011362780351362109</v>
      </c>
      <c r="H100" s="91">
        <f>Model!AO20</f>
        <v>0.014231305973316372</v>
      </c>
      <c r="I100" s="91">
        <f>Model!AP20</f>
        <v>0.022021564956550693</v>
      </c>
      <c r="J100" s="91">
        <f>Model!AQ20</f>
        <v>0.05396459674351292</v>
      </c>
      <c r="K100" s="91">
        <f>Model!AR20</f>
        <v>0.1637603911965831</v>
      </c>
      <c r="L100" s="91">
        <f>Model!AS20</f>
        <v>0.6151284108192908</v>
      </c>
      <c r="M100" s="91">
        <f>Model!AT20</f>
        <v>0</v>
      </c>
      <c r="N100" s="91">
        <f>Model!AU20</f>
        <v>0</v>
      </c>
      <c r="O100" s="91">
        <f>Model!AV20</f>
        <v>0</v>
      </c>
      <c r="P100" s="91">
        <f>Model!AW20</f>
        <v>0</v>
      </c>
      <c r="Q100" s="91">
        <f>Model!AX20</f>
        <v>0</v>
      </c>
      <c r="R100" s="91">
        <f>Model!AY20</f>
        <v>0</v>
      </c>
      <c r="S100" s="91">
        <f>Model!AZ20</f>
        <v>0</v>
      </c>
      <c r="T100" s="91">
        <f>Model!BA20</f>
        <v>0</v>
      </c>
      <c r="U100" s="91">
        <f>Model!BB20</f>
        <v>0</v>
      </c>
    </row>
    <row r="101" spans="1:21" ht="12.75">
      <c r="A101" s="93">
        <f t="shared" si="43"/>
        <v>13</v>
      </c>
      <c r="B101" s="91">
        <f>Model!AI21</f>
        <v>0.006446056232050593</v>
      </c>
      <c r="C101" s="91">
        <f>Model!AJ21</f>
        <v>0.0071343232204866824</v>
      </c>
      <c r="D101" s="91">
        <f>Model!AK21</f>
        <v>0.00767296576258214</v>
      </c>
      <c r="E101" s="91">
        <f>Model!AL21</f>
        <v>0.008379999443709651</v>
      </c>
      <c r="F101" s="91">
        <f>Model!AM21</f>
        <v>0.009160422599576584</v>
      </c>
      <c r="G101" s="91">
        <f>Model!AN21</f>
        <v>0.010109761522585803</v>
      </c>
      <c r="H101" s="91">
        <f>Model!AO21</f>
        <v>0.011497497832222606</v>
      </c>
      <c r="I101" s="91">
        <f>Model!AP21</f>
        <v>0.014142724766872256</v>
      </c>
      <c r="J101" s="91">
        <f>Model!AQ21</f>
        <v>0.023040676181279474</v>
      </c>
      <c r="K101" s="91">
        <f>Model!AR21</f>
        <v>0.0516113618568827</v>
      </c>
      <c r="L101" s="91">
        <f>Model!AS21</f>
        <v>0.16669230612996627</v>
      </c>
      <c r="M101" s="91">
        <f>Model!AT21</f>
        <v>0.618060325752674</v>
      </c>
      <c r="N101" s="91">
        <f>Model!AU21</f>
        <v>0</v>
      </c>
      <c r="O101" s="91">
        <f>Model!AV21</f>
        <v>0</v>
      </c>
      <c r="P101" s="91">
        <f>Model!AW21</f>
        <v>0</v>
      </c>
      <c r="Q101" s="91">
        <f>Model!AX21</f>
        <v>0</v>
      </c>
      <c r="R101" s="91">
        <f>Model!AY21</f>
        <v>0</v>
      </c>
      <c r="S101" s="91">
        <f>Model!AZ21</f>
        <v>0</v>
      </c>
      <c r="T101" s="91">
        <f>Model!BA21</f>
        <v>0</v>
      </c>
      <c r="U101" s="91">
        <f>Model!BB21</f>
        <v>0</v>
      </c>
    </row>
    <row r="102" spans="1:21" ht="12.75">
      <c r="A102" s="93">
        <f t="shared" si="43"/>
        <v>14</v>
      </c>
      <c r="B102" s="91">
        <f>Model!AI22</f>
        <v>0.005890367756512929</v>
      </c>
      <c r="C102" s="91">
        <f>Model!AJ22</f>
        <v>0.006518909597317435</v>
      </c>
      <c r="D102" s="91">
        <f>Model!AK22</f>
        <v>0.007010024395657774</v>
      </c>
      <c r="E102" s="91">
        <f>Model!AL22</f>
        <v>0.007651238895190163</v>
      </c>
      <c r="F102" s="91">
        <f>Model!AM22</f>
        <v>0.008345215526159896</v>
      </c>
      <c r="G102" s="91">
        <f>Model!AN22</f>
        <v>0.009134657671114238</v>
      </c>
      <c r="H102" s="91">
        <f>Model!AO22</f>
        <v>0.010085341718243004</v>
      </c>
      <c r="I102" s="91">
        <f>Model!AP22</f>
        <v>0.0113594543958557</v>
      </c>
      <c r="J102" s="91">
        <f>Model!AQ22</f>
        <v>0.014315903838706928</v>
      </c>
      <c r="K102" s="91">
        <f>Model!AR22</f>
        <v>0.02213413561384575</v>
      </c>
      <c r="L102" s="91">
        <f>Model!AS22</f>
        <v>0.051513295280569</v>
      </c>
      <c r="M102" s="91">
        <f>Model!AT22</f>
        <v>0.16432833753634296</v>
      </c>
      <c r="N102" s="91">
        <f>Model!AU22</f>
        <v>0.6171252039676811</v>
      </c>
      <c r="O102" s="91">
        <f>Model!AV22</f>
        <v>0</v>
      </c>
      <c r="P102" s="91">
        <f>Model!AW22</f>
        <v>0</v>
      </c>
      <c r="Q102" s="91">
        <f>Model!AX22</f>
        <v>0</v>
      </c>
      <c r="R102" s="91">
        <f>Model!AY22</f>
        <v>0</v>
      </c>
      <c r="S102" s="91">
        <f>Model!AZ22</f>
        <v>0</v>
      </c>
      <c r="T102" s="91">
        <f>Model!BA22</f>
        <v>0</v>
      </c>
      <c r="U102" s="91">
        <f>Model!BB22</f>
        <v>0</v>
      </c>
    </row>
    <row r="103" spans="1:21" ht="12.75">
      <c r="A103" s="93">
        <f t="shared" si="43"/>
        <v>15</v>
      </c>
      <c r="B103" s="91">
        <f>Model!AI23</f>
        <v>0.005382081950179203</v>
      </c>
      <c r="C103" s="91">
        <f>Model!AJ23</f>
        <v>0.005956289158516231</v>
      </c>
      <c r="D103" s="91">
        <f>Model!AK23</f>
        <v>0.006404754529223525</v>
      </c>
      <c r="E103" s="91">
        <f>Model!AL23</f>
        <v>0.00698943306895522</v>
      </c>
      <c r="F103" s="91">
        <f>Model!AM23</f>
        <v>0.007618781656706999</v>
      </c>
      <c r="G103" s="91">
        <f>Model!AN23</f>
        <v>0.008320783999781076</v>
      </c>
      <c r="H103" s="91">
        <f>Model!AO23</f>
        <v>0.009110876286066327</v>
      </c>
      <c r="I103" s="91">
        <f>Model!AP23</f>
        <v>0.009992151857383308</v>
      </c>
      <c r="J103" s="91">
        <f>Model!AQ23</f>
        <v>0.011412899966832049</v>
      </c>
      <c r="K103" s="91">
        <f>Model!AR23</f>
        <v>0.014030154109577198</v>
      </c>
      <c r="L103" s="91">
        <f>Model!AS23</f>
        <v>0.022119631532864392</v>
      </c>
      <c r="M103" s="91">
        <f>Model!AT23</f>
        <v>0.051043415517122825</v>
      </c>
      <c r="N103" s="91">
        <f>Model!AU23</f>
        <v>0.16469551298157598</v>
      </c>
      <c r="O103" s="91">
        <f>Model!AV23</f>
        <v>0.6160719338493335</v>
      </c>
      <c r="P103" s="91">
        <f>Model!AW23</f>
        <v>0</v>
      </c>
      <c r="Q103" s="91">
        <f>Model!AX23</f>
        <v>0</v>
      </c>
      <c r="R103" s="91">
        <f>Model!AY23</f>
        <v>0</v>
      </c>
      <c r="S103" s="91">
        <f>Model!AZ23</f>
        <v>0</v>
      </c>
      <c r="T103" s="91">
        <f>Model!BA23</f>
        <v>0</v>
      </c>
      <c r="U103" s="91">
        <f>Model!BB23</f>
        <v>0</v>
      </c>
    </row>
    <row r="104" spans="1:21" ht="12.75">
      <c r="A104" s="93">
        <f t="shared" si="43"/>
        <v>16</v>
      </c>
      <c r="B104" s="91">
        <f>Model!AI24</f>
        <v>0.004953160382350878</v>
      </c>
      <c r="C104" s="91">
        <f>Model!AJ24</f>
        <v>0.005481582171823582</v>
      </c>
      <c r="D104" s="91">
        <f>Model!AK24</f>
        <v>0.005894239546099092</v>
      </c>
      <c r="E104" s="91">
        <f>Model!AL24</f>
        <v>0.006432020484526499</v>
      </c>
      <c r="F104" s="91">
        <f>Model!AM24</f>
        <v>0.007010024395657774</v>
      </c>
      <c r="G104" s="91">
        <f>Model!AN24</f>
        <v>0.007651238895190163</v>
      </c>
      <c r="H104" s="91">
        <f>Model!AO24</f>
        <v>0.008358674541176628</v>
      </c>
      <c r="I104" s="91">
        <f>Model!AP24</f>
        <v>0.009098808174677717</v>
      </c>
      <c r="J104" s="91">
        <f>Model!AQ24</f>
        <v>0.010085341718243004</v>
      </c>
      <c r="K104" s="91">
        <f>Model!AR24</f>
        <v>0.0113594543958557</v>
      </c>
      <c r="L104" s="91">
        <f>Model!AS24</f>
        <v>0.01410327805817585</v>
      </c>
      <c r="M104" s="91">
        <f>Model!AT24</f>
        <v>0.02213413561384575</v>
      </c>
      <c r="N104" s="91">
        <f>Model!AU24</f>
        <v>0.051513295280569</v>
      </c>
      <c r="O104" s="91">
        <f>Model!AV24</f>
        <v>0.16574878309992358</v>
      </c>
      <c r="P104" s="91">
        <f>Model!AW24</f>
        <v>0.6171252039676811</v>
      </c>
      <c r="Q104" s="91">
        <f>Model!AX24</f>
        <v>0</v>
      </c>
      <c r="R104" s="91">
        <f>Model!AY24</f>
        <v>0</v>
      </c>
      <c r="S104" s="91">
        <f>Model!AZ24</f>
        <v>0</v>
      </c>
      <c r="T104" s="91">
        <f>Model!BA24</f>
        <v>0</v>
      </c>
      <c r="U104" s="91">
        <f>Model!BB24</f>
        <v>0</v>
      </c>
    </row>
    <row r="105" spans="1:21" ht="12.75">
      <c r="A105" s="93">
        <f t="shared" si="43"/>
        <v>17</v>
      </c>
      <c r="B105" s="91">
        <f>Model!AI25</f>
        <v>0.004525766261120848</v>
      </c>
      <c r="C105" s="91">
        <f>Model!AJ25</f>
        <v>0.0050085859673413904</v>
      </c>
      <c r="D105" s="91">
        <f>Model!AK25</f>
        <v>0.0053856193957976875</v>
      </c>
      <c r="E105" s="91">
        <f>Model!AL25</f>
        <v>0.005876921439305127</v>
      </c>
      <c r="F105" s="91">
        <f>Model!AM25</f>
        <v>0.006404754529223525</v>
      </c>
      <c r="G105" s="91">
        <f>Model!AN25</f>
        <v>0.00698943306895522</v>
      </c>
      <c r="H105" s="91">
        <f>Model!AO25</f>
        <v>0.007630916309792485</v>
      </c>
      <c r="I105" s="91">
        <f>Model!AP25</f>
        <v>0.008289505025118285</v>
      </c>
      <c r="J105" s="91">
        <f>Model!AQ25</f>
        <v>0.009110876286066327</v>
      </c>
      <c r="K105" s="91">
        <f>Model!AR25</f>
        <v>0.009992151857383308</v>
      </c>
      <c r="L105" s="91">
        <f>Model!AS25</f>
        <v>0.011327054178861554</v>
      </c>
      <c r="M105" s="91">
        <f>Model!AT25</f>
        <v>0.014030154109577198</v>
      </c>
      <c r="N105" s="91">
        <f>Model!AU25</f>
        <v>0.022119631532864392</v>
      </c>
      <c r="O105" s="91">
        <f>Model!AV25</f>
        <v>0.051403024474301146</v>
      </c>
      <c r="P105" s="91">
        <f>Model!AW25</f>
        <v>0.16469551298157598</v>
      </c>
      <c r="Q105" s="91">
        <f>Model!AX25</f>
        <v>0.6160719338493335</v>
      </c>
      <c r="R105" s="91">
        <f>Model!AY25</f>
        <v>0</v>
      </c>
      <c r="S105" s="91">
        <f>Model!AZ25</f>
        <v>0</v>
      </c>
      <c r="T105" s="91">
        <f>Model!BA25</f>
        <v>0</v>
      </c>
      <c r="U105" s="91">
        <f>Model!BB25</f>
        <v>0</v>
      </c>
    </row>
    <row r="106" spans="1:21" ht="12.75">
      <c r="A106" s="93">
        <f t="shared" si="43"/>
        <v>18</v>
      </c>
      <c r="B106" s="91">
        <f>Model!AI26</f>
        <v>0.004165093012906386</v>
      </c>
      <c r="C106" s="91">
        <f>Model!AJ26</f>
        <v>0.004609433701959882</v>
      </c>
      <c r="D106" s="91">
        <f>Model!AK26</f>
        <v>0.004956415852520747</v>
      </c>
      <c r="E106" s="91">
        <f>Model!AL26</f>
        <v>0.005408545538608721</v>
      </c>
      <c r="F106" s="91">
        <f>Model!AM26</f>
        <v>0.005894239546099092</v>
      </c>
      <c r="G106" s="91">
        <f>Model!AN26</f>
        <v>0.006432020484526499</v>
      </c>
      <c r="H106" s="91">
        <f>Model!AO26</f>
        <v>0.007021151135678999</v>
      </c>
      <c r="I106" s="91">
        <f>Model!AP26</f>
        <v>0.00762282290804045</v>
      </c>
      <c r="J106" s="91">
        <f>Model!AQ26</f>
        <v>0.008358674541176628</v>
      </c>
      <c r="K106" s="91">
        <f>Model!AR26</f>
        <v>0.009098808174677717</v>
      </c>
      <c r="L106" s="91">
        <f>Model!AS26</f>
        <v>0.010033516757373878</v>
      </c>
      <c r="M106" s="91">
        <f>Model!AT26</f>
        <v>0.0113594543958557</v>
      </c>
      <c r="N106" s="91">
        <f>Model!AU26</f>
        <v>0.01410327805817585</v>
      </c>
      <c r="O106" s="91">
        <f>Model!AV26</f>
        <v>0.022229902339132246</v>
      </c>
      <c r="P106" s="91">
        <f>Model!AW26</f>
        <v>0.051513295280569</v>
      </c>
      <c r="Q106" s="91">
        <f>Model!AX26</f>
        <v>0.16574878309992358</v>
      </c>
      <c r="R106" s="91">
        <f>Model!AY26</f>
        <v>0.6171252039676811</v>
      </c>
      <c r="S106" s="91">
        <f>Model!AZ26</f>
        <v>0</v>
      </c>
      <c r="T106" s="91">
        <f>Model!BA26</f>
        <v>0</v>
      </c>
      <c r="U106" s="91">
        <f>Model!BB26</f>
        <v>0</v>
      </c>
    </row>
    <row r="107" spans="1:21" ht="12.75">
      <c r="A107" s="93">
        <f t="shared" si="43"/>
        <v>19</v>
      </c>
      <c r="B107" s="91">
        <f>Model!AI27</f>
        <v>0.003665972411960962</v>
      </c>
      <c r="C107" s="91">
        <f>Model!AJ27</f>
        <v>0.004057065525937445</v>
      </c>
      <c r="D107" s="91">
        <f>Model!AK27</f>
        <v>0.004362466336064033</v>
      </c>
      <c r="E107" s="91">
        <f>Model!AL27</f>
        <v>0.004760410920382471</v>
      </c>
      <c r="F107" s="91">
        <f>Model!AM27</f>
        <v>0.005187884450851082</v>
      </c>
      <c r="G107" s="91">
        <f>Model!AN27</f>
        <v>0.005661148671636321</v>
      </c>
      <c r="H107" s="91">
        <f>Model!AO27</f>
        <v>0.006179387853353424</v>
      </c>
      <c r="I107" s="91">
        <f>Model!AP27</f>
        <v>0.006707901949114997</v>
      </c>
      <c r="J107" s="91">
        <f>Model!AQ27</f>
        <v>0.007350789423395426</v>
      </c>
      <c r="K107" s="91">
        <f>Model!AR27</f>
        <v>0.0079853204270188</v>
      </c>
      <c r="L107" s="91">
        <f>Model!AS27</f>
        <v>0.008737956521043366</v>
      </c>
      <c r="M107" s="91">
        <f>Model!AT27</f>
        <v>0.009627971105637387</v>
      </c>
      <c r="N107" s="91">
        <f>Model!AU27</f>
        <v>0.010921991685291607</v>
      </c>
      <c r="O107" s="91">
        <f>Model!AV27</f>
        <v>0.013586200005188148</v>
      </c>
      <c r="P107" s="91">
        <f>Model!AW27</f>
        <v>0.02148053614026829</v>
      </c>
      <c r="Q107" s="91">
        <f>Model!AX27</f>
        <v>0.05020961029585724</v>
      </c>
      <c r="R107" s="91">
        <f>Model!AY27</f>
        <v>0.1614172211019836</v>
      </c>
      <c r="S107" s="91">
        <f>Model!AZ27</f>
        <v>0.6045544991467477</v>
      </c>
      <c r="T107" s="91">
        <f>Model!BA27</f>
        <v>0</v>
      </c>
      <c r="U107" s="91">
        <f>Model!BB27</f>
        <v>0</v>
      </c>
    </row>
    <row r="108" spans="1:21" ht="12.75">
      <c r="A108" s="93">
        <f t="shared" si="43"/>
        <v>20</v>
      </c>
      <c r="B108" s="91">
        <f>Model!AI28</f>
        <v>0.04226707066631308</v>
      </c>
      <c r="C108" s="91">
        <f>Model!AJ28</f>
        <v>0.04677620295520947</v>
      </c>
      <c r="D108" s="91">
        <f>Model!AK28</f>
        <v>0.05029733739211743</v>
      </c>
      <c r="E108" s="91">
        <f>Model!AL28</f>
        <v>0.05488544638579592</v>
      </c>
      <c r="F108" s="91">
        <f>Model!AM28</f>
        <v>0.05981395452564882</v>
      </c>
      <c r="G108" s="91">
        <f>Model!AN28</f>
        <v>0.06527017561245592</v>
      </c>
      <c r="H108" s="91">
        <f>Model!AO28</f>
        <v>0.07124398800906194</v>
      </c>
      <c r="I108" s="91">
        <f>Model!AP28</f>
        <v>0.07733298716024681</v>
      </c>
      <c r="J108" s="91">
        <f>Model!AQ28</f>
        <v>0.08472465388449142</v>
      </c>
      <c r="K108" s="91">
        <f>Model!AR28</f>
        <v>0.09196789661550174</v>
      </c>
      <c r="L108" s="91">
        <f>Model!AS28</f>
        <v>0.10034455072185487</v>
      </c>
      <c r="M108" s="91">
        <f>Model!AT28</f>
        <v>0.10941620596894418</v>
      </c>
      <c r="N108" s="91">
        <f>Model!AU28</f>
        <v>0.11952108649384206</v>
      </c>
      <c r="O108" s="91">
        <f>Model!AV28</f>
        <v>0.13096015623212137</v>
      </c>
      <c r="P108" s="91">
        <f>Model!AW28</f>
        <v>0.14518545162990562</v>
      </c>
      <c r="Q108" s="91">
        <f>Model!AX28</f>
        <v>0.16796967275488567</v>
      </c>
      <c r="R108" s="91">
        <f>Model!AY28</f>
        <v>0.2214575749303353</v>
      </c>
      <c r="S108" s="91">
        <f>Model!AZ28</f>
        <v>0.39544550085325225</v>
      </c>
      <c r="T108" s="91">
        <f>Model!BA28</f>
        <v>1</v>
      </c>
      <c r="U108" s="91">
        <f>Model!BB28</f>
        <v>0</v>
      </c>
    </row>
    <row r="110" spans="2:21" ht="12.75">
      <c r="B110" s="91">
        <f aca="true" t="shared" si="44" ref="B110:U110">SUM(B89:B108)</f>
        <v>1</v>
      </c>
      <c r="C110" s="91">
        <f t="shared" si="44"/>
        <v>1</v>
      </c>
      <c r="D110" s="91">
        <f t="shared" si="44"/>
        <v>1</v>
      </c>
      <c r="E110" s="91">
        <f t="shared" si="44"/>
        <v>1</v>
      </c>
      <c r="F110" s="91">
        <f t="shared" si="44"/>
        <v>1</v>
      </c>
      <c r="G110" s="91">
        <f t="shared" si="44"/>
        <v>1</v>
      </c>
      <c r="H110" s="91">
        <f t="shared" si="44"/>
        <v>1</v>
      </c>
      <c r="I110" s="91">
        <f t="shared" si="44"/>
        <v>1</v>
      </c>
      <c r="J110" s="91">
        <f t="shared" si="44"/>
        <v>1</v>
      </c>
      <c r="K110" s="91">
        <f t="shared" si="44"/>
        <v>1</v>
      </c>
      <c r="L110" s="91">
        <f t="shared" si="44"/>
        <v>1</v>
      </c>
      <c r="M110" s="91">
        <f t="shared" si="44"/>
        <v>1</v>
      </c>
      <c r="N110" s="91">
        <f t="shared" si="44"/>
        <v>1</v>
      </c>
      <c r="O110" s="91">
        <f t="shared" si="44"/>
        <v>1</v>
      </c>
      <c r="P110" s="91">
        <f t="shared" si="44"/>
        <v>1</v>
      </c>
      <c r="Q110" s="91">
        <f t="shared" si="44"/>
        <v>1</v>
      </c>
      <c r="R110" s="91">
        <f t="shared" si="44"/>
        <v>1</v>
      </c>
      <c r="S110" s="91">
        <f t="shared" si="44"/>
        <v>1</v>
      </c>
      <c r="T110" s="91">
        <f t="shared" si="44"/>
        <v>1</v>
      </c>
      <c r="U110" s="91">
        <f t="shared" si="44"/>
        <v>0</v>
      </c>
    </row>
    <row r="113" ht="12.75">
      <c r="B113" s="91" t="s">
        <v>16</v>
      </c>
    </row>
    <row r="114" spans="2:21" ht="12.75">
      <c r="B114" s="93">
        <v>1</v>
      </c>
      <c r="C114" s="93">
        <f aca="true" t="shared" si="45" ref="C114:U114">B114+1</f>
        <v>2</v>
      </c>
      <c r="D114" s="93">
        <f t="shared" si="45"/>
        <v>3</v>
      </c>
      <c r="E114" s="93">
        <f t="shared" si="45"/>
        <v>4</v>
      </c>
      <c r="F114" s="93">
        <f t="shared" si="45"/>
        <v>5</v>
      </c>
      <c r="G114" s="93">
        <f t="shared" si="45"/>
        <v>6</v>
      </c>
      <c r="H114" s="93">
        <f t="shared" si="45"/>
        <v>7</v>
      </c>
      <c r="I114" s="93">
        <f t="shared" si="45"/>
        <v>8</v>
      </c>
      <c r="J114" s="93">
        <f t="shared" si="45"/>
        <v>9</v>
      </c>
      <c r="K114" s="93">
        <f t="shared" si="45"/>
        <v>10</v>
      </c>
      <c r="L114" s="93">
        <f t="shared" si="45"/>
        <v>11</v>
      </c>
      <c r="M114" s="93">
        <f t="shared" si="45"/>
        <v>12</v>
      </c>
      <c r="N114" s="93">
        <f t="shared" si="45"/>
        <v>13</v>
      </c>
      <c r="O114" s="93">
        <f t="shared" si="45"/>
        <v>14</v>
      </c>
      <c r="P114" s="93">
        <f t="shared" si="45"/>
        <v>15</v>
      </c>
      <c r="Q114" s="93">
        <f t="shared" si="45"/>
        <v>16</v>
      </c>
      <c r="R114" s="93">
        <f t="shared" si="45"/>
        <v>17</v>
      </c>
      <c r="S114" s="93">
        <f t="shared" si="45"/>
        <v>18</v>
      </c>
      <c r="T114" s="93">
        <f t="shared" si="45"/>
        <v>19</v>
      </c>
      <c r="U114" s="93">
        <f t="shared" si="45"/>
        <v>20</v>
      </c>
    </row>
    <row r="115" spans="1:27" ht="12.75">
      <c r="A115" s="93">
        <v>1</v>
      </c>
      <c r="B115" s="91">
        <f aca="true" t="array" ref="B115:U134">MINVERSE(B60:U79)</f>
        <v>0.9999999999999961</v>
      </c>
      <c r="C115" s="91">
        <v>-1.3060562921407615E-15</v>
      </c>
      <c r="D115" s="91">
        <v>-4.809766560675087E-16</v>
      </c>
      <c r="E115" s="91">
        <v>-1.2971019395012068E-15</v>
      </c>
      <c r="F115" s="91">
        <v>-1.2529697729205445E-15</v>
      </c>
      <c r="G115" s="91">
        <v>-5.430175279272803E-16</v>
      </c>
      <c r="H115" s="91">
        <v>-1.2568073526232107E-15</v>
      </c>
      <c r="I115" s="91">
        <v>-4.605095643199551E-16</v>
      </c>
      <c r="J115" s="91">
        <v>-1.1647054397592197E-15</v>
      </c>
      <c r="K115" s="91">
        <v>-9.792224207970157E-16</v>
      </c>
      <c r="L115" s="91">
        <v>-7.502468318712602E-16</v>
      </c>
      <c r="M115" s="91">
        <v>-1.1256900461154457E-15</v>
      </c>
      <c r="N115" s="91">
        <v>-8.775265586763589E-16</v>
      </c>
      <c r="O115" s="91">
        <v>-2.731077555064178E-16</v>
      </c>
      <c r="P115" s="91">
        <v>-3.0956476268174756E-16</v>
      </c>
      <c r="Q115" s="91">
        <v>-3.947910119117948E-16</v>
      </c>
      <c r="R115" s="91">
        <v>-5.120370667859639E-16</v>
      </c>
      <c r="S115" s="91">
        <v>5.5406142070310955E-17</v>
      </c>
      <c r="T115" s="91">
        <v>0</v>
      </c>
      <c r="U115" s="91">
        <v>0</v>
      </c>
      <c r="X115" s="94"/>
      <c r="Y115" s="94"/>
      <c r="Z115" s="94"/>
      <c r="AA115" s="94"/>
    </row>
    <row r="116" spans="1:27" ht="12.75">
      <c r="A116" s="93">
        <f aca="true" t="shared" si="46" ref="A116:A134">A115+1</f>
        <v>2</v>
      </c>
      <c r="B116" s="91">
        <v>-0.8414795185173405</v>
      </c>
      <c r="C116" s="91">
        <v>1.0000000000000033</v>
      </c>
      <c r="D116" s="91">
        <v>-3.5921050043022273E-16</v>
      </c>
      <c r="E116" s="91">
        <v>3.2132380121547926E-15</v>
      </c>
      <c r="F116" s="91">
        <v>3.541857175183582E-15</v>
      </c>
      <c r="G116" s="91">
        <v>-3.697027061841976E-16</v>
      </c>
      <c r="H116" s="91">
        <v>3.0321327043982925E-15</v>
      </c>
      <c r="I116" s="91">
        <v>6.202860889177996E-16</v>
      </c>
      <c r="J116" s="91">
        <v>1.825201161261375E-15</v>
      </c>
      <c r="K116" s="91">
        <v>2.3521558011832704E-15</v>
      </c>
      <c r="L116" s="91">
        <v>1.3227064760034334E-15</v>
      </c>
      <c r="M116" s="91">
        <v>2.497669579733709E-15</v>
      </c>
      <c r="N116" s="91">
        <v>2.1856330200176463E-15</v>
      </c>
      <c r="O116" s="91">
        <v>7.500287706942947E-18</v>
      </c>
      <c r="P116" s="91">
        <v>-4.4125463120485874E-16</v>
      </c>
      <c r="Q116" s="91">
        <v>6.539636102773352E-16</v>
      </c>
      <c r="R116" s="91">
        <v>1.2569252641474585E-15</v>
      </c>
      <c r="S116" s="91">
        <v>-1.5048277533502225E-16</v>
      </c>
      <c r="T116" s="91">
        <v>0</v>
      </c>
      <c r="U116" s="91">
        <v>0</v>
      </c>
      <c r="X116" s="94"/>
      <c r="Y116" s="94"/>
      <c r="Z116" s="94"/>
      <c r="AA116" s="94"/>
    </row>
    <row r="117" spans="1:27" ht="12.75">
      <c r="A117" s="93">
        <f t="shared" si="46"/>
        <v>3</v>
      </c>
      <c r="B117" s="91">
        <v>0.22166931088454242</v>
      </c>
      <c r="C117" s="91">
        <v>-0.8456462733800831</v>
      </c>
      <c r="D117" s="91">
        <v>0.9999999999999992</v>
      </c>
      <c r="E117" s="91">
        <v>-2.9179144549232617E-15</v>
      </c>
      <c r="F117" s="91">
        <v>-5.1107254314852564E-15</v>
      </c>
      <c r="G117" s="91">
        <v>-1.816568965225565E-15</v>
      </c>
      <c r="H117" s="91">
        <v>-4.481214366788837E-15</v>
      </c>
      <c r="I117" s="91">
        <v>-1.3826487811788403E-15</v>
      </c>
      <c r="J117" s="91">
        <v>-1.182087471923112E-15</v>
      </c>
      <c r="K117" s="91">
        <v>-1.2746744644995562E-15</v>
      </c>
      <c r="L117" s="91">
        <v>-1.6685770054387415E-15</v>
      </c>
      <c r="M117" s="91">
        <v>-1.412903222599134E-15</v>
      </c>
      <c r="N117" s="91">
        <v>-1.1649098512607528E-15</v>
      </c>
      <c r="O117" s="91">
        <v>5.3513083099374703E-17</v>
      </c>
      <c r="P117" s="91">
        <v>3.067220182223746E-16</v>
      </c>
      <c r="Q117" s="91">
        <v>-3.918760655914896E-16</v>
      </c>
      <c r="R117" s="91">
        <v>-8.783249272794408E-16</v>
      </c>
      <c r="S117" s="91">
        <v>1.0011036019058014E-16</v>
      </c>
      <c r="T117" s="91">
        <v>0</v>
      </c>
      <c r="U117" s="91">
        <v>0</v>
      </c>
      <c r="X117" s="94"/>
      <c r="Y117" s="94"/>
      <c r="Z117" s="94"/>
      <c r="AA117" s="94"/>
    </row>
    <row r="118" spans="1:27" ht="12.75">
      <c r="A118" s="93">
        <f t="shared" si="46"/>
        <v>4</v>
      </c>
      <c r="B118" s="91">
        <v>-0.05091494246980792</v>
      </c>
      <c r="C118" s="91">
        <v>0.43636347195113373</v>
      </c>
      <c r="D118" s="91">
        <v>-1.4346737802889062</v>
      </c>
      <c r="E118" s="91">
        <v>0.9999999999999984</v>
      </c>
      <c r="F118" s="91">
        <v>5.627974104337115E-15</v>
      </c>
      <c r="G118" s="91">
        <v>3.4944645467640196E-15</v>
      </c>
      <c r="H118" s="91">
        <v>7.668325764426203E-15</v>
      </c>
      <c r="I118" s="91">
        <v>1.80073119163058E-15</v>
      </c>
      <c r="J118" s="91">
        <v>-1.0461476356755472E-15</v>
      </c>
      <c r="K118" s="91">
        <v>-2.2581438738584624E-15</v>
      </c>
      <c r="L118" s="91">
        <v>2.1597433912892165E-15</v>
      </c>
      <c r="M118" s="91">
        <v>-9.734903164699825E-16</v>
      </c>
      <c r="N118" s="91">
        <v>-8.079583733859414E-16</v>
      </c>
      <c r="O118" s="91">
        <v>1.599608955085795E-16</v>
      </c>
      <c r="P118" s="91">
        <v>3.387411067237221E-16</v>
      </c>
      <c r="Q118" s="91">
        <v>2.429689142296126E-16</v>
      </c>
      <c r="R118" s="91">
        <v>6.073889840638574E-16</v>
      </c>
      <c r="S118" s="91">
        <v>-4.8141554332660943E-17</v>
      </c>
      <c r="T118" s="91">
        <v>0</v>
      </c>
      <c r="U118" s="91">
        <v>0</v>
      </c>
      <c r="X118" s="94"/>
      <c r="Y118" s="94"/>
      <c r="Z118" s="94"/>
      <c r="AA118" s="94"/>
    </row>
    <row r="119" spans="1:27" ht="12.75">
      <c r="A119" s="93">
        <f t="shared" si="46"/>
        <v>5</v>
      </c>
      <c r="B119" s="91">
        <v>0.016892849618400076</v>
      </c>
      <c r="C119" s="91">
        <v>-0.2695861824433606</v>
      </c>
      <c r="D119" s="91">
        <v>1.7336171447471618</v>
      </c>
      <c r="E119" s="91">
        <v>-2.4694656902278043</v>
      </c>
      <c r="F119" s="91">
        <v>0.9999999999999958</v>
      </c>
      <c r="G119" s="91">
        <v>-2.4354057887511912E-15</v>
      </c>
      <c r="H119" s="91">
        <v>-1.4010566210970527E-14</v>
      </c>
      <c r="I119" s="91">
        <v>-2.967390791350785E-15</v>
      </c>
      <c r="J119" s="91">
        <v>3.5044522393301194E-15</v>
      </c>
      <c r="K119" s="91">
        <v>6.513285791080004E-15</v>
      </c>
      <c r="L119" s="91">
        <v>-3.0445338407974188E-15</v>
      </c>
      <c r="M119" s="91">
        <v>3.513797010947959E-15</v>
      </c>
      <c r="N119" s="91">
        <v>2.975094911362202E-15</v>
      </c>
      <c r="O119" s="91">
        <v>-4.059551318525748E-16</v>
      </c>
      <c r="P119" s="91">
        <v>-9.634078079818524E-16</v>
      </c>
      <c r="Q119" s="91">
        <v>-2.341670643838679E-16</v>
      </c>
      <c r="R119" s="91">
        <v>-6.532375150164319E-16</v>
      </c>
      <c r="S119" s="91">
        <v>2.89350919101865E-17</v>
      </c>
      <c r="T119" s="91">
        <v>0</v>
      </c>
      <c r="U119" s="91">
        <v>0</v>
      </c>
      <c r="X119" s="94"/>
      <c r="Y119" s="94"/>
      <c r="Z119" s="94"/>
      <c r="AA119" s="94"/>
    </row>
    <row r="120" spans="1:27" ht="12.75">
      <c r="A120" s="93">
        <f t="shared" si="46"/>
        <v>6</v>
      </c>
      <c r="B120" s="91">
        <v>-0.11451173125533405</v>
      </c>
      <c r="C120" s="91">
        <v>2.1339518499564316</v>
      </c>
      <c r="D120" s="91">
        <v>-16.059987277655253</v>
      </c>
      <c r="E120" s="91">
        <v>26.01202534189552</v>
      </c>
      <c r="F120" s="91">
        <v>-13.27125802214892</v>
      </c>
      <c r="G120" s="91">
        <v>1.0000000000000149</v>
      </c>
      <c r="H120" s="91">
        <v>1.4426033323831752E-13</v>
      </c>
      <c r="I120" s="91">
        <v>3.07336686538409E-14</v>
      </c>
      <c r="J120" s="91">
        <v>-3.721712157362883E-14</v>
      </c>
      <c r="K120" s="91">
        <v>-6.931366980634879E-14</v>
      </c>
      <c r="L120" s="91">
        <v>2.9507060535094283E-14</v>
      </c>
      <c r="M120" s="91">
        <v>-3.787571197175075E-14</v>
      </c>
      <c r="N120" s="91">
        <v>-3.233642559716617E-14</v>
      </c>
      <c r="O120" s="91">
        <v>4.241655418565551E-15</v>
      </c>
      <c r="P120" s="91">
        <v>1.0109989525879135E-14</v>
      </c>
      <c r="Q120" s="91">
        <v>2.1313037840024E-15</v>
      </c>
      <c r="R120" s="91">
        <v>6.109685958654389E-15</v>
      </c>
      <c r="S120" s="91">
        <v>-2.2797612754222547E-16</v>
      </c>
      <c r="T120" s="91">
        <v>0</v>
      </c>
      <c r="U120" s="91">
        <v>0</v>
      </c>
      <c r="X120" s="94"/>
      <c r="Y120" s="94"/>
      <c r="Z120" s="94"/>
      <c r="AA120" s="94"/>
    </row>
    <row r="121" spans="1:27" ht="12.75">
      <c r="A121" s="93">
        <f t="shared" si="46"/>
        <v>7</v>
      </c>
      <c r="B121" s="91">
        <v>3.7804103388355763</v>
      </c>
      <c r="C121" s="91">
        <v>-53.07233881886472</v>
      </c>
      <c r="D121" s="91">
        <v>298.83771269227236</v>
      </c>
      <c r="E121" s="91">
        <v>-378.18392462594977</v>
      </c>
      <c r="F121" s="91">
        <v>120.33856593246583</v>
      </c>
      <c r="G121" s="91">
        <v>7.495387879152855</v>
      </c>
      <c r="H121" s="91">
        <v>0.9999999999977901</v>
      </c>
      <c r="I121" s="91">
        <v>-4.696114329313473E-13</v>
      </c>
      <c r="J121" s="91">
        <v>5.278048245023049E-13</v>
      </c>
      <c r="K121" s="91">
        <v>9.852695415739999E-13</v>
      </c>
      <c r="L121" s="91">
        <v>-5.058206543532765E-13</v>
      </c>
      <c r="M121" s="91">
        <v>5.232324865931582E-13</v>
      </c>
      <c r="N121" s="91">
        <v>4.402376257574353E-13</v>
      </c>
      <c r="O121" s="91">
        <v>-6.248861809167121E-14</v>
      </c>
      <c r="P121" s="91">
        <v>-1.4730779556791228E-13</v>
      </c>
      <c r="Q121" s="91">
        <v>-4.134732841579353E-14</v>
      </c>
      <c r="R121" s="91">
        <v>-1.1271505724517634E-13</v>
      </c>
      <c r="S121" s="91">
        <v>5.721532040008036E-15</v>
      </c>
      <c r="T121" s="91">
        <v>0</v>
      </c>
      <c r="U121" s="91">
        <v>0</v>
      </c>
      <c r="X121" s="94"/>
      <c r="Y121" s="94"/>
      <c r="Z121" s="94"/>
      <c r="AA121" s="94"/>
    </row>
    <row r="122" spans="1:27" ht="12.75">
      <c r="A122" s="93">
        <f t="shared" si="46"/>
        <v>8</v>
      </c>
      <c r="B122" s="91">
        <v>51.05726074544933</v>
      </c>
      <c r="C122" s="91">
        <v>-465.77176179538856</v>
      </c>
      <c r="D122" s="91">
        <v>1643.4757740207956</v>
      </c>
      <c r="E122" s="91">
        <v>-1255.446667253781</v>
      </c>
      <c r="F122" s="91">
        <v>47.81672933834387</v>
      </c>
      <c r="G122" s="91">
        <v>12.649927289929776</v>
      </c>
      <c r="H122" s="91">
        <v>4.144433270388251</v>
      </c>
      <c r="I122" s="91">
        <v>0.9999999999979021</v>
      </c>
      <c r="J122" s="91">
        <v>1.4190656421990253E-12</v>
      </c>
      <c r="K122" s="91">
        <v>2.936728862455999E-12</v>
      </c>
      <c r="L122" s="91">
        <v>-2.501420555330156E-12</v>
      </c>
      <c r="M122" s="91">
        <v>1.3404340736978112E-12</v>
      </c>
      <c r="N122" s="91">
        <v>1.11267366838395E-12</v>
      </c>
      <c r="O122" s="91">
        <v>-2.0360399868966387E-13</v>
      </c>
      <c r="P122" s="91">
        <v>-4.4393559520591356E-13</v>
      </c>
      <c r="Q122" s="91">
        <v>-2.682470358039064E-13</v>
      </c>
      <c r="R122" s="91">
        <v>-6.775502317169655E-13</v>
      </c>
      <c r="S122" s="91">
        <v>5.120377408204933E-14</v>
      </c>
      <c r="T122" s="91">
        <v>0</v>
      </c>
      <c r="U122" s="91">
        <v>0</v>
      </c>
      <c r="X122" s="94"/>
      <c r="Y122" s="94"/>
      <c r="Z122" s="94"/>
      <c r="AA122" s="94"/>
    </row>
    <row r="123" spans="1:27" ht="12.75">
      <c r="A123" s="93">
        <f t="shared" si="46"/>
        <v>9</v>
      </c>
      <c r="B123" s="91">
        <v>-41.32754096343227</v>
      </c>
      <c r="C123" s="91">
        <v>237.25726499098752</v>
      </c>
      <c r="D123" s="91">
        <v>-484.3301584864086</v>
      </c>
      <c r="E123" s="91">
        <v>150.7888567391394</v>
      </c>
      <c r="F123" s="91">
        <v>33.64853663742429</v>
      </c>
      <c r="G123" s="91">
        <v>15.299669668719737</v>
      </c>
      <c r="H123" s="91">
        <v>7.775255689345538</v>
      </c>
      <c r="I123" s="91">
        <v>3.546579468694032</v>
      </c>
      <c r="J123" s="91">
        <v>1.0000000000000753</v>
      </c>
      <c r="K123" s="91">
        <v>-1.0774324687400212E-13</v>
      </c>
      <c r="L123" s="91">
        <v>7.143845716645792E-13</v>
      </c>
      <c r="M123" s="91">
        <v>1.1711222486304578E-13</v>
      </c>
      <c r="N123" s="91">
        <v>9.368977989043663E-14</v>
      </c>
      <c r="O123" s="91">
        <v>1.522458923219595E-14</v>
      </c>
      <c r="P123" s="91">
        <v>0</v>
      </c>
      <c r="Q123" s="91">
        <v>1.13891638679312E-13</v>
      </c>
      <c r="R123" s="91">
        <v>2.6833338521745363E-13</v>
      </c>
      <c r="S123" s="91">
        <v>-2.6931254110916506E-14</v>
      </c>
      <c r="T123" s="91">
        <v>0</v>
      </c>
      <c r="U123" s="91">
        <v>0</v>
      </c>
      <c r="X123" s="94"/>
      <c r="Y123" s="94"/>
      <c r="Z123" s="94"/>
      <c r="AA123" s="94"/>
    </row>
    <row r="124" spans="1:27" ht="12.75">
      <c r="A124" s="93">
        <f t="shared" si="46"/>
        <v>10</v>
      </c>
      <c r="B124" s="91">
        <v>434.80067794816523</v>
      </c>
      <c r="C124" s="91">
        <v>-1570.7126329003627</v>
      </c>
      <c r="D124" s="91">
        <v>1714.9982939526847</v>
      </c>
      <c r="E124" s="91">
        <v>60.73349498994466</v>
      </c>
      <c r="F124" s="91">
        <v>26.047549965121178</v>
      </c>
      <c r="G124" s="91">
        <v>15.767713422352372</v>
      </c>
      <c r="H124" s="91">
        <v>10.24789385532583</v>
      </c>
      <c r="I124" s="91">
        <v>6.342524381301802</v>
      </c>
      <c r="J124" s="91">
        <v>3.1322899514734788</v>
      </c>
      <c r="K124" s="91">
        <v>0.9999999999974171</v>
      </c>
      <c r="L124" s="91">
        <v>-2.9562710855945225E-12</v>
      </c>
      <c r="M124" s="91">
        <v>-2.76250799946005E-12</v>
      </c>
      <c r="N124" s="91">
        <v>-2.2836363722991395E-12</v>
      </c>
      <c r="O124" s="91">
        <v>1.1210578554923049E-13</v>
      </c>
      <c r="P124" s="91">
        <v>6.131217654112235E-13</v>
      </c>
      <c r="Q124" s="91">
        <v>-7.300716281138159E-13</v>
      </c>
      <c r="R124" s="91">
        <v>-1.6260528987302737E-12</v>
      </c>
      <c r="S124" s="91">
        <v>1.872242792172656E-13</v>
      </c>
      <c r="T124" s="91">
        <v>0</v>
      </c>
      <c r="U124" s="91">
        <v>0</v>
      </c>
      <c r="X124" s="94"/>
      <c r="Y124" s="94"/>
      <c r="Z124" s="94"/>
      <c r="AA124" s="94"/>
    </row>
    <row r="125" spans="1:27" ht="12.75">
      <c r="A125" s="93">
        <f t="shared" si="46"/>
        <v>11</v>
      </c>
      <c r="B125" s="91">
        <v>128.84923972941905</v>
      </c>
      <c r="C125" s="91">
        <v>-292.18682582752916</v>
      </c>
      <c r="D125" s="91">
        <v>142.47479148944976</v>
      </c>
      <c r="E125" s="91">
        <v>40.659200731390506</v>
      </c>
      <c r="F125" s="91">
        <v>23.58732451431661</v>
      </c>
      <c r="G125" s="91">
        <v>16.89911626548681</v>
      </c>
      <c r="H125" s="91">
        <v>12.736752266893356</v>
      </c>
      <c r="I125" s="91">
        <v>9.362772992690156</v>
      </c>
      <c r="J125" s="91">
        <v>6.034148481320918</v>
      </c>
      <c r="K125" s="91">
        <v>3.2002338615174066</v>
      </c>
      <c r="L125" s="91">
        <v>0.9999999999995881</v>
      </c>
      <c r="M125" s="91">
        <v>-6.394414928045027E-13</v>
      </c>
      <c r="N125" s="91">
        <v>-5.410658785268869E-13</v>
      </c>
      <c r="O125" s="91">
        <v>2.459390356940395E-14</v>
      </c>
      <c r="P125" s="91">
        <v>1.475634214164237E-13</v>
      </c>
      <c r="Q125" s="91">
        <v>-1.475634214164237E-13</v>
      </c>
      <c r="R125" s="91">
        <v>-3.120351515368126E-13</v>
      </c>
      <c r="S125" s="91">
        <v>3.747044051592358E-14</v>
      </c>
      <c r="T125" s="91">
        <v>0</v>
      </c>
      <c r="U125" s="91">
        <v>0</v>
      </c>
      <c r="X125" s="94"/>
      <c r="Y125" s="94"/>
      <c r="Z125" s="94"/>
      <c r="AA125" s="94"/>
    </row>
    <row r="126" spans="1:27" ht="12.75">
      <c r="A126" s="93">
        <f t="shared" si="46"/>
        <v>12</v>
      </c>
      <c r="B126" s="91">
        <v>665.4481064100045</v>
      </c>
      <c r="C126" s="91">
        <v>-894.0768161881286</v>
      </c>
      <c r="D126" s="91">
        <v>62.8567263696009</v>
      </c>
      <c r="E126" s="91">
        <v>29.754928528907342</v>
      </c>
      <c r="F126" s="91">
        <v>20.688796998930478</v>
      </c>
      <c r="G126" s="91">
        <v>16.573140062670767</v>
      </c>
      <c r="H126" s="91">
        <v>13.792993123452202</v>
      </c>
      <c r="I126" s="91">
        <v>11.331824340145667</v>
      </c>
      <c r="J126" s="91">
        <v>8.572972001638576</v>
      </c>
      <c r="K126" s="91">
        <v>5.829144288472798</v>
      </c>
      <c r="L126" s="91">
        <v>3.0775485062321386</v>
      </c>
      <c r="M126" s="91">
        <v>0.9999999999978253</v>
      </c>
      <c r="N126" s="91">
        <v>-1.8908457984812033E-12</v>
      </c>
      <c r="O126" s="91">
        <v>1.5498736053124617E-14</v>
      </c>
      <c r="P126" s="91">
        <v>4.1846587343436467E-13</v>
      </c>
      <c r="Q126" s="91">
        <v>-5.502051298859239E-13</v>
      </c>
      <c r="R126" s="91">
        <v>-1.081036839705442E-12</v>
      </c>
      <c r="S126" s="91">
        <v>1.2968219207967038E-13</v>
      </c>
      <c r="T126" s="91">
        <v>0</v>
      </c>
      <c r="U126" s="91">
        <v>0</v>
      </c>
      <c r="X126" s="94"/>
      <c r="Y126" s="94"/>
      <c r="Z126" s="94"/>
      <c r="AA126" s="94"/>
    </row>
    <row r="127" spans="1:27" ht="12.75">
      <c r="A127" s="93">
        <f t="shared" si="46"/>
        <v>13</v>
      </c>
      <c r="B127" s="91">
        <v>-256.6484703745581</v>
      </c>
      <c r="C127" s="91">
        <v>181.8593639388971</v>
      </c>
      <c r="D127" s="91">
        <v>39.62689523824133</v>
      </c>
      <c r="E127" s="91">
        <v>24.216960480427286</v>
      </c>
      <c r="F127" s="91">
        <v>18.895039542071068</v>
      </c>
      <c r="G127" s="91">
        <v>16.310734709529505</v>
      </c>
      <c r="H127" s="91">
        <v>14.510416477769441</v>
      </c>
      <c r="I127" s="91">
        <v>12.82746696601453</v>
      </c>
      <c r="J127" s="91">
        <v>10.746178967712927</v>
      </c>
      <c r="K127" s="91">
        <v>8.434982707840746</v>
      </c>
      <c r="L127" s="91">
        <v>5.708603912043024</v>
      </c>
      <c r="M127" s="91">
        <v>3.0759470531347155</v>
      </c>
      <c r="N127" s="91">
        <v>1.0000000000004756</v>
      </c>
      <c r="O127" s="91">
        <v>2.7859448208640358E-14</v>
      </c>
      <c r="P127" s="91">
        <v>-4.685452653271333E-14</v>
      </c>
      <c r="Q127" s="91">
        <v>1.6145816575462025E-13</v>
      </c>
      <c r="R127" s="91">
        <v>2.795442360026072E-13</v>
      </c>
      <c r="S127" s="91">
        <v>-3.3193480479931666E-14</v>
      </c>
      <c r="T127" s="91">
        <v>0</v>
      </c>
      <c r="U127" s="91">
        <v>0</v>
      </c>
      <c r="X127" s="94"/>
      <c r="Y127" s="94"/>
      <c r="Z127" s="94"/>
      <c r="AA127" s="94"/>
    </row>
    <row r="128" spans="1:27" ht="12.75">
      <c r="A128" s="93">
        <f t="shared" si="46"/>
        <v>14</v>
      </c>
      <c r="B128" s="91">
        <v>-263.3810630667643</v>
      </c>
      <c r="C128" s="91">
        <v>68.63929301881114</v>
      </c>
      <c r="D128" s="91">
        <v>28.986920529846902</v>
      </c>
      <c r="E128" s="91">
        <v>20.660843644106983</v>
      </c>
      <c r="F128" s="91">
        <v>17.415486161278302</v>
      </c>
      <c r="G128" s="91">
        <v>15.825645844719967</v>
      </c>
      <c r="H128" s="91">
        <v>14.738753174130835</v>
      </c>
      <c r="I128" s="91">
        <v>13.694100935105167</v>
      </c>
      <c r="J128" s="91">
        <v>12.28101899815585</v>
      </c>
      <c r="K128" s="91">
        <v>10.559686291606</v>
      </c>
      <c r="L128" s="91">
        <v>8.259733242482177</v>
      </c>
      <c r="M128" s="91">
        <v>5.6650519502335515</v>
      </c>
      <c r="N128" s="91">
        <v>3.0552420620651026</v>
      </c>
      <c r="O128" s="91">
        <v>1.0000000000000535</v>
      </c>
      <c r="P128" s="91">
        <v>3.679296633197773E-14</v>
      </c>
      <c r="Q128" s="91">
        <v>1.2877538216192206E-13</v>
      </c>
      <c r="R128" s="91">
        <v>1.8856395245138588E-13</v>
      </c>
      <c r="S128" s="91">
        <v>-2.1845823759611777E-14</v>
      </c>
      <c r="T128" s="91">
        <v>0</v>
      </c>
      <c r="U128" s="91">
        <v>0</v>
      </c>
      <c r="X128" s="94"/>
      <c r="Y128" s="94"/>
      <c r="Z128" s="94"/>
      <c r="AA128" s="94"/>
    </row>
    <row r="129" spans="1:27" ht="12.75">
      <c r="A129" s="93">
        <f t="shared" si="46"/>
        <v>15</v>
      </c>
      <c r="B129" s="91">
        <v>694.3655242726685</v>
      </c>
      <c r="C129" s="91">
        <v>41.03089931906772</v>
      </c>
      <c r="D129" s="91">
        <v>23.343803702063116</v>
      </c>
      <c r="E129" s="91">
        <v>18.383268750230567</v>
      </c>
      <c r="F129" s="91">
        <v>16.337786202919837</v>
      </c>
      <c r="G129" s="91">
        <v>15.381374376631383</v>
      </c>
      <c r="H129" s="91">
        <v>14.782455030616703</v>
      </c>
      <c r="I129" s="91">
        <v>14.208934661096379</v>
      </c>
      <c r="J129" s="91">
        <v>13.346283066359984</v>
      </c>
      <c r="K129" s="91">
        <v>12.188431327917323</v>
      </c>
      <c r="L129" s="91">
        <v>10.449949858886384</v>
      </c>
      <c r="M129" s="91">
        <v>8.244130164786785</v>
      </c>
      <c r="N129" s="91">
        <v>5.6523194401374415</v>
      </c>
      <c r="O129" s="91">
        <v>3.0564259773649995</v>
      </c>
      <c r="P129" s="91">
        <v>0.9999999999997616</v>
      </c>
      <c r="Q129" s="91">
        <v>-2.572948143357036E-13</v>
      </c>
      <c r="R129" s="91">
        <v>-3.2540226518927226E-13</v>
      </c>
      <c r="S129" s="91">
        <v>3.4053725426784304E-14</v>
      </c>
      <c r="T129" s="91">
        <v>0</v>
      </c>
      <c r="U129" s="91">
        <v>0</v>
      </c>
      <c r="X129" s="94"/>
      <c r="Y129" s="94"/>
      <c r="Z129" s="94"/>
      <c r="AA129" s="94"/>
    </row>
    <row r="130" spans="1:27" ht="12.75">
      <c r="A130" s="93">
        <f t="shared" si="46"/>
        <v>16</v>
      </c>
      <c r="B130" s="91">
        <v>100.89424373253482</v>
      </c>
      <c r="C130" s="91">
        <v>29.410434716303804</v>
      </c>
      <c r="D130" s="91">
        <v>19.88106953297898</v>
      </c>
      <c r="E130" s="91">
        <v>16.755481589900537</v>
      </c>
      <c r="F130" s="91">
        <v>15.451575363006471</v>
      </c>
      <c r="G130" s="91">
        <v>14.908050363979951</v>
      </c>
      <c r="H130" s="91">
        <v>14.63934876309377</v>
      </c>
      <c r="I130" s="91">
        <v>14.401440824517595</v>
      </c>
      <c r="J130" s="91">
        <v>13.963871037760473</v>
      </c>
      <c r="K130" s="91">
        <v>13.28516758532576</v>
      </c>
      <c r="L130" s="91">
        <v>12.108814018836963</v>
      </c>
      <c r="M130" s="91">
        <v>10.444106811159369</v>
      </c>
      <c r="N130" s="91">
        <v>8.236847874389706</v>
      </c>
      <c r="O130" s="91">
        <v>5.657484705949761</v>
      </c>
      <c r="P130" s="91">
        <v>3.060459210479453</v>
      </c>
      <c r="Q130" s="91">
        <v>0.9999999999999736</v>
      </c>
      <c r="R130" s="91">
        <v>-3.216328148257067E-14</v>
      </c>
      <c r="S130" s="91">
        <v>2.297377248755048E-15</v>
      </c>
      <c r="T130" s="91">
        <v>0</v>
      </c>
      <c r="U130" s="91">
        <v>0</v>
      </c>
      <c r="X130" s="94"/>
      <c r="Y130" s="94"/>
      <c r="Z130" s="94"/>
      <c r="AA130" s="94"/>
    </row>
    <row r="131" spans="1:27" ht="12.75">
      <c r="A131" s="93">
        <f t="shared" si="46"/>
        <v>17</v>
      </c>
      <c r="B131" s="91">
        <v>50.22584681314545</v>
      </c>
      <c r="C131" s="91">
        <v>23.22757635193231</v>
      </c>
      <c r="D131" s="91">
        <v>17.53641963697016</v>
      </c>
      <c r="E131" s="91">
        <v>15.497277004324502</v>
      </c>
      <c r="F131" s="91">
        <v>14.66723777047598</v>
      </c>
      <c r="G131" s="91">
        <v>14.391352941859624</v>
      </c>
      <c r="H131" s="91">
        <v>14.337992118320892</v>
      </c>
      <c r="I131" s="91">
        <v>14.326352035076365</v>
      </c>
      <c r="J131" s="91">
        <v>14.195211874245024</v>
      </c>
      <c r="K131" s="91">
        <v>13.887967227463749</v>
      </c>
      <c r="L131" s="91">
        <v>13.197023997762779</v>
      </c>
      <c r="M131" s="91">
        <v>12.08035850670889</v>
      </c>
      <c r="N131" s="91">
        <v>10.417175800602205</v>
      </c>
      <c r="O131" s="91">
        <v>8.225996739614002</v>
      </c>
      <c r="P131" s="91">
        <v>5.652340098622215</v>
      </c>
      <c r="Q131" s="91">
        <v>3.0547356365714067</v>
      </c>
      <c r="R131" s="91">
        <v>0.9999999999999875</v>
      </c>
      <c r="S131" s="91">
        <v>0</v>
      </c>
      <c r="T131" s="91">
        <v>0</v>
      </c>
      <c r="U131" s="91">
        <v>0</v>
      </c>
      <c r="X131" s="94"/>
      <c r="Y131" s="94"/>
      <c r="Z131" s="94"/>
      <c r="AA131" s="94"/>
    </row>
    <row r="132" spans="1:27" ht="12.75">
      <c r="A132" s="93">
        <f t="shared" si="46"/>
        <v>18</v>
      </c>
      <c r="B132" s="91">
        <v>33.18190396887599</v>
      </c>
      <c r="C132" s="91">
        <v>19.56068724007346</v>
      </c>
      <c r="D132" s="91">
        <v>15.917834704337732</v>
      </c>
      <c r="E132" s="91">
        <v>14.54941273383684</v>
      </c>
      <c r="F132" s="91">
        <v>14.023915589496282</v>
      </c>
      <c r="G132" s="91">
        <v>13.916950348767717</v>
      </c>
      <c r="H132" s="91">
        <v>13.996395590121171</v>
      </c>
      <c r="I132" s="91">
        <v>14.127127612187977</v>
      </c>
      <c r="J132" s="91">
        <v>14.201270400245685</v>
      </c>
      <c r="K132" s="91">
        <v>14.158824113141305</v>
      </c>
      <c r="L132" s="91">
        <v>13.843821923702356</v>
      </c>
      <c r="M132" s="91">
        <v>13.196407656309926</v>
      </c>
      <c r="N132" s="91">
        <v>12.078246778708444</v>
      </c>
      <c r="O132" s="91">
        <v>10.42479152747608</v>
      </c>
      <c r="P132" s="91">
        <v>8.234598952084152</v>
      </c>
      <c r="Q132" s="91">
        <v>5.654302879920968</v>
      </c>
      <c r="R132" s="91">
        <v>3.0597475611090146</v>
      </c>
      <c r="S132" s="91">
        <v>0.9999999999999994</v>
      </c>
      <c r="T132" s="91">
        <v>0</v>
      </c>
      <c r="U132" s="91">
        <v>0</v>
      </c>
      <c r="X132" s="94"/>
      <c r="Y132" s="94"/>
      <c r="Z132" s="94"/>
      <c r="AA132" s="94"/>
    </row>
    <row r="133" spans="1:27" ht="12.75">
      <c r="A133" s="93">
        <f t="shared" si="46"/>
        <v>19</v>
      </c>
      <c r="B133" s="91">
        <v>25.49443384715933</v>
      </c>
      <c r="C133" s="91">
        <v>17.416293679882138</v>
      </c>
      <c r="D133" s="91">
        <v>14.927249110485945</v>
      </c>
      <c r="E133" s="91">
        <v>13.973478265435437</v>
      </c>
      <c r="F133" s="91">
        <v>13.639423162741078</v>
      </c>
      <c r="G133" s="91">
        <v>13.6345636056439</v>
      </c>
      <c r="H133" s="91">
        <v>13.790661418187318</v>
      </c>
      <c r="I133" s="91">
        <v>14.004498383487025</v>
      </c>
      <c r="J133" s="91">
        <v>14.20635834857321</v>
      </c>
      <c r="K133" s="91">
        <v>14.338355340285228</v>
      </c>
      <c r="L133" s="91">
        <v>14.288710141851112</v>
      </c>
      <c r="M133" s="91">
        <v>13.997083731642348</v>
      </c>
      <c r="N133" s="91">
        <v>13.333531024896295</v>
      </c>
      <c r="O133" s="91">
        <v>12.200523160098129</v>
      </c>
      <c r="P133" s="91">
        <v>10.518327338089053</v>
      </c>
      <c r="Q133" s="91">
        <v>8.287091410395037</v>
      </c>
      <c r="R133" s="91">
        <v>5.676420779681471</v>
      </c>
      <c r="S133" s="91">
        <v>3.0494002976838726</v>
      </c>
      <c r="T133" s="91">
        <v>1</v>
      </c>
      <c r="U133" s="91">
        <v>0</v>
      </c>
      <c r="X133" s="94"/>
      <c r="Y133" s="94"/>
      <c r="Z133" s="94"/>
      <c r="AA133" s="94"/>
    </row>
    <row r="134" spans="1:27" ht="12.75">
      <c r="A134" s="93">
        <f t="shared" si="46"/>
        <v>20</v>
      </c>
      <c r="B134" s="91">
        <v>1.0000000000001203</v>
      </c>
      <c r="C134" s="91">
        <v>1.000000000000681</v>
      </c>
      <c r="D134" s="91">
        <v>0.9999999999974342</v>
      </c>
      <c r="E134" s="91">
        <v>1.0000000000022555</v>
      </c>
      <c r="F134" s="91">
        <v>0.9999999999998228</v>
      </c>
      <c r="G134" s="91">
        <v>0.9999999999999682</v>
      </c>
      <c r="H134" s="91">
        <v>0.9999999999999916</v>
      </c>
      <c r="I134" s="91">
        <v>0.9999999999999996</v>
      </c>
      <c r="J134" s="91">
        <v>1.0000000000000029</v>
      </c>
      <c r="K134" s="91">
        <v>1.0000000000000042</v>
      </c>
      <c r="L134" s="91">
        <v>1.0000000000000047</v>
      </c>
      <c r="M134" s="91">
        <v>1.0000000000000053</v>
      </c>
      <c r="N134" s="91">
        <v>1.0000000000000058</v>
      </c>
      <c r="O134" s="91">
        <v>1.0000000000000049</v>
      </c>
      <c r="P134" s="91">
        <v>1.000000000000003</v>
      </c>
      <c r="Q134" s="91">
        <v>1.000000000000001</v>
      </c>
      <c r="R134" s="91">
        <v>0.9999999999999999</v>
      </c>
      <c r="S134" s="91">
        <v>0.9999999999999998</v>
      </c>
      <c r="T134" s="91">
        <v>1</v>
      </c>
      <c r="U134" s="91">
        <v>1</v>
      </c>
      <c r="X134" s="94"/>
      <c r="Y134" s="94"/>
      <c r="Z134" s="94"/>
      <c r="AA134" s="94"/>
    </row>
    <row r="137" ht="12.75">
      <c r="B137" s="91" t="s">
        <v>12</v>
      </c>
    </row>
    <row r="138" spans="2:21" ht="12.75">
      <c r="B138" s="93">
        <v>1</v>
      </c>
      <c r="C138" s="93">
        <f aca="true" t="shared" si="47" ref="C138:U138">B138+1</f>
        <v>2</v>
      </c>
      <c r="D138" s="93">
        <f t="shared" si="47"/>
        <v>3</v>
      </c>
      <c r="E138" s="93">
        <f t="shared" si="47"/>
        <v>4</v>
      </c>
      <c r="F138" s="93">
        <f t="shared" si="47"/>
        <v>5</v>
      </c>
      <c r="G138" s="93">
        <f t="shared" si="47"/>
        <v>6</v>
      </c>
      <c r="H138" s="93">
        <f t="shared" si="47"/>
        <v>7</v>
      </c>
      <c r="I138" s="93">
        <f t="shared" si="47"/>
        <v>8</v>
      </c>
      <c r="J138" s="93">
        <f t="shared" si="47"/>
        <v>9</v>
      </c>
      <c r="K138" s="93">
        <f t="shared" si="47"/>
        <v>10</v>
      </c>
      <c r="L138" s="93">
        <f t="shared" si="47"/>
        <v>11</v>
      </c>
      <c r="M138" s="93">
        <f t="shared" si="47"/>
        <v>12</v>
      </c>
      <c r="N138" s="93">
        <f t="shared" si="47"/>
        <v>13</v>
      </c>
      <c r="O138" s="93">
        <f t="shared" si="47"/>
        <v>14</v>
      </c>
      <c r="P138" s="93">
        <f t="shared" si="47"/>
        <v>15</v>
      </c>
      <c r="Q138" s="93">
        <f t="shared" si="47"/>
        <v>16</v>
      </c>
      <c r="R138" s="93">
        <f t="shared" si="47"/>
        <v>17</v>
      </c>
      <c r="S138" s="93">
        <f t="shared" si="47"/>
        <v>18</v>
      </c>
      <c r="T138" s="93">
        <f t="shared" si="47"/>
        <v>19</v>
      </c>
      <c r="U138" s="93">
        <f t="shared" si="47"/>
        <v>20</v>
      </c>
    </row>
    <row r="139" spans="1:21" ht="12.75">
      <c r="A139" s="93">
        <v>1</v>
      </c>
      <c r="B139" s="91">
        <f>Model!B36</f>
        <v>0.00022259809598872596</v>
      </c>
      <c r="C139" s="91">
        <f>Model!C36</f>
        <v>0</v>
      </c>
      <c r="D139" s="91">
        <f>Model!D36</f>
        <v>0</v>
      </c>
      <c r="E139" s="91">
        <f>Model!E36</f>
        <v>0</v>
      </c>
      <c r="F139" s="91">
        <f>Model!F36</f>
        <v>0</v>
      </c>
      <c r="G139" s="91">
        <f>Model!G36</f>
        <v>0</v>
      </c>
      <c r="H139" s="91">
        <f>Model!H36</f>
        <v>0</v>
      </c>
      <c r="I139" s="91">
        <f>Model!I36</f>
        <v>0</v>
      </c>
      <c r="J139" s="91">
        <f>Model!J36</f>
        <v>0</v>
      </c>
      <c r="K139" s="91">
        <f>Model!K36</f>
        <v>0</v>
      </c>
      <c r="L139" s="91">
        <f>Model!L36</f>
        <v>0</v>
      </c>
      <c r="M139" s="91">
        <f>Model!M36</f>
        <v>0</v>
      </c>
      <c r="N139" s="91">
        <f>Model!N36</f>
        <v>0</v>
      </c>
      <c r="O139" s="91">
        <f>Model!O36</f>
        <v>0</v>
      </c>
      <c r="P139" s="91">
        <f>Model!P36</f>
        <v>0</v>
      </c>
      <c r="Q139" s="91">
        <f>Model!Q36</f>
        <v>0</v>
      </c>
      <c r="R139" s="91">
        <f>Model!R36</f>
        <v>0</v>
      </c>
      <c r="S139" s="91">
        <f>Model!S36</f>
        <v>0</v>
      </c>
      <c r="T139" s="91">
        <f>Model!T36</f>
        <v>0</v>
      </c>
      <c r="U139" s="91">
        <f>Model!U36</f>
        <v>0</v>
      </c>
    </row>
    <row r="140" spans="1:21" ht="12.75">
      <c r="A140" s="93">
        <f aca="true" t="shared" si="48" ref="A140:A158">A139+1</f>
        <v>2</v>
      </c>
      <c r="B140" s="91">
        <f>Model!B37</f>
        <v>0</v>
      </c>
      <c r="C140" s="91">
        <f>Model!C37</f>
        <v>3.0013433016458423E-07</v>
      </c>
      <c r="D140" s="91">
        <f>Model!D37</f>
        <v>0</v>
      </c>
      <c r="E140" s="91">
        <f>Model!E37</f>
        <v>0</v>
      </c>
      <c r="F140" s="91">
        <f>Model!F37</f>
        <v>0</v>
      </c>
      <c r="G140" s="91">
        <f>Model!G37</f>
        <v>0</v>
      </c>
      <c r="H140" s="91">
        <f>Model!H37</f>
        <v>0</v>
      </c>
      <c r="I140" s="91">
        <f>Model!I37</f>
        <v>0</v>
      </c>
      <c r="J140" s="91">
        <f>Model!J37</f>
        <v>0</v>
      </c>
      <c r="K140" s="91">
        <f>Model!K37</f>
        <v>0</v>
      </c>
      <c r="L140" s="91">
        <f>Model!L37</f>
        <v>0</v>
      </c>
      <c r="M140" s="91">
        <f>Model!M37</f>
        <v>0</v>
      </c>
      <c r="N140" s="91">
        <f>Model!N37</f>
        <v>0</v>
      </c>
      <c r="O140" s="91">
        <f>Model!O37</f>
        <v>0</v>
      </c>
      <c r="P140" s="91">
        <f>Model!P37</f>
        <v>0</v>
      </c>
      <c r="Q140" s="91">
        <f>Model!Q37</f>
        <v>0</v>
      </c>
      <c r="R140" s="91">
        <f>Model!R37</f>
        <v>0</v>
      </c>
      <c r="S140" s="91">
        <f>Model!S37</f>
        <v>0</v>
      </c>
      <c r="T140" s="91">
        <f>Model!T37</f>
        <v>0</v>
      </c>
      <c r="U140" s="91">
        <f>Model!U37</f>
        <v>0</v>
      </c>
    </row>
    <row r="141" spans="1:21" ht="12.75">
      <c r="A141" s="93">
        <f t="shared" si="48"/>
        <v>3</v>
      </c>
      <c r="B141" s="91">
        <f>Model!B38</f>
        <v>0</v>
      </c>
      <c r="C141" s="91">
        <f>Model!C38</f>
        <v>0</v>
      </c>
      <c r="D141" s="91">
        <f>Model!D38</f>
        <v>1.3511929035905624E-11</v>
      </c>
      <c r="E141" s="91">
        <f>Model!E38</f>
        <v>0</v>
      </c>
      <c r="F141" s="91">
        <f>Model!F38</f>
        <v>0</v>
      </c>
      <c r="G141" s="91">
        <f>Model!G38</f>
        <v>0</v>
      </c>
      <c r="H141" s="91">
        <f>Model!H38</f>
        <v>0</v>
      </c>
      <c r="I141" s="91">
        <f>Model!I38</f>
        <v>0</v>
      </c>
      <c r="J141" s="91">
        <f>Model!J38</f>
        <v>0</v>
      </c>
      <c r="K141" s="91">
        <f>Model!K38</f>
        <v>0</v>
      </c>
      <c r="L141" s="91">
        <f>Model!L38</f>
        <v>0</v>
      </c>
      <c r="M141" s="91">
        <f>Model!M38</f>
        <v>0</v>
      </c>
      <c r="N141" s="91">
        <f>Model!N38</f>
        <v>0</v>
      </c>
      <c r="O141" s="91">
        <f>Model!O38</f>
        <v>0</v>
      </c>
      <c r="P141" s="91">
        <f>Model!P38</f>
        <v>0</v>
      </c>
      <c r="Q141" s="91">
        <f>Model!Q38</f>
        <v>0</v>
      </c>
      <c r="R141" s="91">
        <f>Model!R38</f>
        <v>0</v>
      </c>
      <c r="S141" s="91">
        <f>Model!S38</f>
        <v>0</v>
      </c>
      <c r="T141" s="91">
        <f>Model!T38</f>
        <v>0</v>
      </c>
      <c r="U141" s="91">
        <f>Model!U38</f>
        <v>0</v>
      </c>
    </row>
    <row r="142" spans="1:21" ht="12.75">
      <c r="A142" s="93">
        <f t="shared" si="48"/>
        <v>4</v>
      </c>
      <c r="B142" s="91">
        <f>Model!B39</f>
        <v>0</v>
      </c>
      <c r="C142" s="91">
        <f>Model!C39</f>
        <v>0</v>
      </c>
      <c r="D142" s="91">
        <f>Model!D39</f>
        <v>0</v>
      </c>
      <c r="E142" s="91">
        <f>Model!E39</f>
        <v>2.770965543751589E-16</v>
      </c>
      <c r="F142" s="91">
        <f>Model!F39</f>
        <v>0</v>
      </c>
      <c r="G142" s="91">
        <f>Model!G39</f>
        <v>0</v>
      </c>
      <c r="H142" s="91">
        <f>Model!H39</f>
        <v>0</v>
      </c>
      <c r="I142" s="91">
        <f>Model!I39</f>
        <v>0</v>
      </c>
      <c r="J142" s="91">
        <f>Model!J39</f>
        <v>0</v>
      </c>
      <c r="K142" s="91">
        <f>Model!K39</f>
        <v>0</v>
      </c>
      <c r="L142" s="91">
        <f>Model!L39</f>
        <v>0</v>
      </c>
      <c r="M142" s="91">
        <f>Model!M39</f>
        <v>0</v>
      </c>
      <c r="N142" s="91">
        <f>Model!N39</f>
        <v>0</v>
      </c>
      <c r="O142" s="91">
        <f>Model!O39</f>
        <v>0</v>
      </c>
      <c r="P142" s="91">
        <f>Model!P39</f>
        <v>0</v>
      </c>
      <c r="Q142" s="91">
        <f>Model!Q39</f>
        <v>0</v>
      </c>
      <c r="R142" s="91">
        <f>Model!R39</f>
        <v>0</v>
      </c>
      <c r="S142" s="91">
        <f>Model!S39</f>
        <v>0</v>
      </c>
      <c r="T142" s="91">
        <f>Model!T39</f>
        <v>0</v>
      </c>
      <c r="U142" s="91">
        <f>Model!U39</f>
        <v>0</v>
      </c>
    </row>
    <row r="143" spans="1:21" ht="12.75">
      <c r="A143" s="93">
        <f t="shared" si="48"/>
        <v>5</v>
      </c>
      <c r="B143" s="91">
        <f>Model!B40</f>
        <v>0</v>
      </c>
      <c r="C143" s="91">
        <f>Model!C40</f>
        <v>0</v>
      </c>
      <c r="D143" s="91">
        <f>Model!D40</f>
        <v>0</v>
      </c>
      <c r="E143" s="91">
        <f>Model!E40</f>
        <v>0</v>
      </c>
      <c r="F143" s="91">
        <f>Model!F40</f>
        <v>3.733389309044896E-20</v>
      </c>
      <c r="G143" s="91">
        <f>Model!G40</f>
        <v>0</v>
      </c>
      <c r="H143" s="91">
        <f>Model!H40</f>
        <v>0</v>
      </c>
      <c r="I143" s="91">
        <f>Model!I40</f>
        <v>0</v>
      </c>
      <c r="J143" s="91">
        <f>Model!J40</f>
        <v>0</v>
      </c>
      <c r="K143" s="91">
        <f>Model!K40</f>
        <v>0</v>
      </c>
      <c r="L143" s="91">
        <f>Model!L40</f>
        <v>0</v>
      </c>
      <c r="M143" s="91">
        <f>Model!M40</f>
        <v>0</v>
      </c>
      <c r="N143" s="91">
        <f>Model!N40</f>
        <v>0</v>
      </c>
      <c r="O143" s="91">
        <f>Model!O40</f>
        <v>0</v>
      </c>
      <c r="P143" s="91">
        <f>Model!P40</f>
        <v>0</v>
      </c>
      <c r="Q143" s="91">
        <f>Model!Q40</f>
        <v>0</v>
      </c>
      <c r="R143" s="91">
        <f>Model!R40</f>
        <v>0</v>
      </c>
      <c r="S143" s="91">
        <f>Model!S40</f>
        <v>0</v>
      </c>
      <c r="T143" s="91">
        <f>Model!T40</f>
        <v>0</v>
      </c>
      <c r="U143" s="91">
        <f>Model!U40</f>
        <v>0</v>
      </c>
    </row>
    <row r="144" spans="1:21" ht="12.75">
      <c r="A144" s="93">
        <f t="shared" si="48"/>
        <v>6</v>
      </c>
      <c r="B144" s="91">
        <f>Model!B41</f>
        <v>0</v>
      </c>
      <c r="C144" s="91">
        <f>Model!C41</f>
        <v>0</v>
      </c>
      <c r="D144" s="91">
        <f>Model!D41</f>
        <v>0</v>
      </c>
      <c r="E144" s="91">
        <f>Model!E41</f>
        <v>0</v>
      </c>
      <c r="F144" s="91">
        <f>Model!F41</f>
        <v>0</v>
      </c>
      <c r="G144" s="91">
        <f>Model!G41</f>
        <v>4.637055321070681E-21</v>
      </c>
      <c r="H144" s="91">
        <f>Model!H41</f>
        <v>0</v>
      </c>
      <c r="I144" s="91">
        <f>Model!I41</f>
        <v>0</v>
      </c>
      <c r="J144" s="91">
        <f>Model!J41</f>
        <v>0</v>
      </c>
      <c r="K144" s="91">
        <f>Model!K41</f>
        <v>0</v>
      </c>
      <c r="L144" s="91">
        <f>Model!L41</f>
        <v>0</v>
      </c>
      <c r="M144" s="91">
        <f>Model!M41</f>
        <v>0</v>
      </c>
      <c r="N144" s="91">
        <f>Model!N41</f>
        <v>0</v>
      </c>
      <c r="O144" s="91">
        <f>Model!O41</f>
        <v>0</v>
      </c>
      <c r="P144" s="91">
        <f>Model!P41</f>
        <v>0</v>
      </c>
      <c r="Q144" s="91">
        <f>Model!Q41</f>
        <v>0</v>
      </c>
      <c r="R144" s="91">
        <f>Model!R41</f>
        <v>0</v>
      </c>
      <c r="S144" s="91">
        <f>Model!S41</f>
        <v>0</v>
      </c>
      <c r="T144" s="91">
        <f>Model!T41</f>
        <v>0</v>
      </c>
      <c r="U144" s="91">
        <f>Model!U41</f>
        <v>0</v>
      </c>
    </row>
    <row r="145" spans="1:21" ht="12.75">
      <c r="A145" s="93">
        <f t="shared" si="48"/>
        <v>7</v>
      </c>
      <c r="B145" s="91">
        <f>Model!B42</f>
        <v>0</v>
      </c>
      <c r="C145" s="91">
        <f>Model!C42</f>
        <v>0</v>
      </c>
      <c r="D145" s="91">
        <f>Model!D42</f>
        <v>0</v>
      </c>
      <c r="E145" s="91">
        <f>Model!E42</f>
        <v>0</v>
      </c>
      <c r="F145" s="91">
        <f>Model!F42</f>
        <v>0</v>
      </c>
      <c r="G145" s="91">
        <f>Model!G42</f>
        <v>0</v>
      </c>
      <c r="H145" s="91">
        <f>Model!H42</f>
        <v>2.225678741389146E-19</v>
      </c>
      <c r="I145" s="91">
        <f>Model!I42</f>
        <v>0</v>
      </c>
      <c r="J145" s="91">
        <f>Model!J42</f>
        <v>0</v>
      </c>
      <c r="K145" s="91">
        <f>Model!K42</f>
        <v>0</v>
      </c>
      <c r="L145" s="91">
        <f>Model!L42</f>
        <v>0</v>
      </c>
      <c r="M145" s="91">
        <f>Model!M42</f>
        <v>0</v>
      </c>
      <c r="N145" s="91">
        <f>Model!N42</f>
        <v>0</v>
      </c>
      <c r="O145" s="91">
        <f>Model!O42</f>
        <v>0</v>
      </c>
      <c r="P145" s="91">
        <f>Model!P42</f>
        <v>0</v>
      </c>
      <c r="Q145" s="91">
        <f>Model!Q42</f>
        <v>0</v>
      </c>
      <c r="R145" s="91">
        <f>Model!R42</f>
        <v>0</v>
      </c>
      <c r="S145" s="91">
        <f>Model!S42</f>
        <v>0</v>
      </c>
      <c r="T145" s="91">
        <f>Model!T42</f>
        <v>0</v>
      </c>
      <c r="U145" s="91">
        <f>Model!U42</f>
        <v>0</v>
      </c>
    </row>
    <row r="146" spans="1:21" ht="12.75">
      <c r="A146" s="93">
        <f t="shared" si="48"/>
        <v>8</v>
      </c>
      <c r="B146" s="91">
        <f>Model!B43</f>
        <v>0</v>
      </c>
      <c r="C146" s="91">
        <f>Model!C43</f>
        <v>0</v>
      </c>
      <c r="D146" s="91">
        <f>Model!D43</f>
        <v>0</v>
      </c>
      <c r="E146" s="91">
        <f>Model!E43</f>
        <v>0</v>
      </c>
      <c r="F146" s="91">
        <f>Model!F43</f>
        <v>0</v>
      </c>
      <c r="G146" s="91">
        <f>Model!G43</f>
        <v>0</v>
      </c>
      <c r="H146" s="91">
        <f>Model!H43</f>
        <v>0</v>
      </c>
      <c r="I146" s="91">
        <f>Model!I43</f>
        <v>1.120514380132854E-16</v>
      </c>
      <c r="J146" s="91">
        <f>Model!J43</f>
        <v>0</v>
      </c>
      <c r="K146" s="91">
        <f>Model!K43</f>
        <v>0</v>
      </c>
      <c r="L146" s="91">
        <f>Model!L43</f>
        <v>0</v>
      </c>
      <c r="M146" s="91">
        <f>Model!M43</f>
        <v>0</v>
      </c>
      <c r="N146" s="91">
        <f>Model!N43</f>
        <v>0</v>
      </c>
      <c r="O146" s="91">
        <f>Model!O43</f>
        <v>0</v>
      </c>
      <c r="P146" s="91">
        <f>Model!P43</f>
        <v>0</v>
      </c>
      <c r="Q146" s="91">
        <f>Model!Q43</f>
        <v>0</v>
      </c>
      <c r="R146" s="91">
        <f>Model!R43</f>
        <v>0</v>
      </c>
      <c r="S146" s="91">
        <f>Model!S43</f>
        <v>0</v>
      </c>
      <c r="T146" s="91">
        <f>Model!T43</f>
        <v>0</v>
      </c>
      <c r="U146" s="91">
        <f>Model!U43</f>
        <v>0</v>
      </c>
    </row>
    <row r="147" spans="1:21" ht="12.75">
      <c r="A147" s="93">
        <f t="shared" si="48"/>
        <v>9</v>
      </c>
      <c r="B147" s="91">
        <f>Model!B44</f>
        <v>0</v>
      </c>
      <c r="C147" s="91">
        <f>Model!C44</f>
        <v>0</v>
      </c>
      <c r="D147" s="91">
        <f>Model!D44</f>
        <v>0</v>
      </c>
      <c r="E147" s="91">
        <f>Model!E44</f>
        <v>0</v>
      </c>
      <c r="F147" s="91">
        <f>Model!F44</f>
        <v>0</v>
      </c>
      <c r="G147" s="91">
        <f>Model!G44</f>
        <v>0</v>
      </c>
      <c r="H147" s="91">
        <f>Model!H44</f>
        <v>0</v>
      </c>
      <c r="I147" s="91">
        <f>Model!I44</f>
        <v>0</v>
      </c>
      <c r="J147" s="91">
        <f>Model!J44</f>
        <v>7.774144373300032E-14</v>
      </c>
      <c r="K147" s="91">
        <f>Model!K44</f>
        <v>0</v>
      </c>
      <c r="L147" s="91">
        <f>Model!L44</f>
        <v>0</v>
      </c>
      <c r="M147" s="91">
        <f>Model!M44</f>
        <v>0</v>
      </c>
      <c r="N147" s="91">
        <f>Model!N44</f>
        <v>0</v>
      </c>
      <c r="O147" s="91">
        <f>Model!O44</f>
        <v>0</v>
      </c>
      <c r="P147" s="91">
        <f>Model!P44</f>
        <v>0</v>
      </c>
      <c r="Q147" s="91">
        <f>Model!Q44</f>
        <v>0</v>
      </c>
      <c r="R147" s="91">
        <f>Model!R44</f>
        <v>0</v>
      </c>
      <c r="S147" s="91">
        <f>Model!S44</f>
        <v>0</v>
      </c>
      <c r="T147" s="91">
        <f>Model!T44</f>
        <v>0</v>
      </c>
      <c r="U147" s="91">
        <f>Model!U44</f>
        <v>0</v>
      </c>
    </row>
    <row r="148" spans="1:21" ht="12.75">
      <c r="A148" s="93">
        <f t="shared" si="48"/>
        <v>10</v>
      </c>
      <c r="B148" s="91">
        <f>Model!B45</f>
        <v>0</v>
      </c>
      <c r="C148" s="91">
        <f>Model!C45</f>
        <v>0</v>
      </c>
      <c r="D148" s="91">
        <f>Model!D45</f>
        <v>0</v>
      </c>
      <c r="E148" s="91">
        <f>Model!E45</f>
        <v>0</v>
      </c>
      <c r="F148" s="91">
        <f>Model!F45</f>
        <v>0</v>
      </c>
      <c r="G148" s="91">
        <f>Model!G45</f>
        <v>0</v>
      </c>
      <c r="H148" s="91">
        <f>Model!H45</f>
        <v>0</v>
      </c>
      <c r="I148" s="91">
        <f>Model!I45</f>
        <v>0</v>
      </c>
      <c r="J148" s="91">
        <f>Model!J45</f>
        <v>0</v>
      </c>
      <c r="K148" s="91">
        <f>Model!K45</f>
        <v>2.530806429632393E-11</v>
      </c>
      <c r="L148" s="91">
        <f>Model!L45</f>
        <v>0</v>
      </c>
      <c r="M148" s="91">
        <f>Model!M45</f>
        <v>0</v>
      </c>
      <c r="N148" s="91">
        <f>Model!N45</f>
        <v>0</v>
      </c>
      <c r="O148" s="91">
        <f>Model!O45</f>
        <v>0</v>
      </c>
      <c r="P148" s="91">
        <f>Model!P45</f>
        <v>0</v>
      </c>
      <c r="Q148" s="91">
        <f>Model!Q45</f>
        <v>0</v>
      </c>
      <c r="R148" s="91">
        <f>Model!R45</f>
        <v>0</v>
      </c>
      <c r="S148" s="91">
        <f>Model!S45</f>
        <v>0</v>
      </c>
      <c r="T148" s="91">
        <f>Model!T45</f>
        <v>0</v>
      </c>
      <c r="U148" s="91">
        <f>Model!U45</f>
        <v>0</v>
      </c>
    </row>
    <row r="149" spans="1:21" ht="12.75">
      <c r="A149" s="93">
        <f t="shared" si="48"/>
        <v>11</v>
      </c>
      <c r="B149" s="91">
        <f>Model!B46</f>
        <v>0</v>
      </c>
      <c r="C149" s="91">
        <f>Model!C46</f>
        <v>0</v>
      </c>
      <c r="D149" s="91">
        <f>Model!D46</f>
        <v>0</v>
      </c>
      <c r="E149" s="91">
        <f>Model!E46</f>
        <v>0</v>
      </c>
      <c r="F149" s="91">
        <f>Model!F46</f>
        <v>0</v>
      </c>
      <c r="G149" s="91">
        <f>Model!G46</f>
        <v>0</v>
      </c>
      <c r="H149" s="91">
        <f>Model!H46</f>
        <v>0</v>
      </c>
      <c r="I149" s="91">
        <f>Model!I46</f>
        <v>0</v>
      </c>
      <c r="J149" s="91">
        <f>Model!J46</f>
        <v>0</v>
      </c>
      <c r="K149" s="91">
        <f>Model!K46</f>
        <v>0</v>
      </c>
      <c r="L149" s="91">
        <f>Model!L46</f>
        <v>2.81711613445493E-09</v>
      </c>
      <c r="M149" s="91">
        <f>Model!M46</f>
        <v>0</v>
      </c>
      <c r="N149" s="91">
        <f>Model!N46</f>
        <v>0</v>
      </c>
      <c r="O149" s="91">
        <f>Model!O46</f>
        <v>0</v>
      </c>
      <c r="P149" s="91">
        <f>Model!P46</f>
        <v>0</v>
      </c>
      <c r="Q149" s="91">
        <f>Model!Q46</f>
        <v>0</v>
      </c>
      <c r="R149" s="91">
        <f>Model!R46</f>
        <v>0</v>
      </c>
      <c r="S149" s="91">
        <f>Model!S46</f>
        <v>0</v>
      </c>
      <c r="T149" s="91">
        <f>Model!T46</f>
        <v>0</v>
      </c>
      <c r="U149" s="91">
        <f>Model!U46</f>
        <v>0</v>
      </c>
    </row>
    <row r="150" spans="1:21" ht="12.75">
      <c r="A150" s="93">
        <f t="shared" si="48"/>
        <v>12</v>
      </c>
      <c r="B150" s="91">
        <f>Model!B47</f>
        <v>0</v>
      </c>
      <c r="C150" s="91">
        <f>Model!C47</f>
        <v>0</v>
      </c>
      <c r="D150" s="91">
        <f>Model!D47</f>
        <v>0</v>
      </c>
      <c r="E150" s="91">
        <f>Model!E47</f>
        <v>0</v>
      </c>
      <c r="F150" s="91">
        <f>Model!F47</f>
        <v>0</v>
      </c>
      <c r="G150" s="91">
        <f>Model!G47</f>
        <v>0</v>
      </c>
      <c r="H150" s="91">
        <f>Model!H47</f>
        <v>0</v>
      </c>
      <c r="I150" s="91">
        <f>Model!I47</f>
        <v>0</v>
      </c>
      <c r="J150" s="91">
        <f>Model!J47</f>
        <v>0</v>
      </c>
      <c r="K150" s="91">
        <f>Model!K47</f>
        <v>0</v>
      </c>
      <c r="L150" s="91">
        <f>Model!L47</f>
        <v>0</v>
      </c>
      <c r="M150" s="91">
        <f>Model!M47</f>
        <v>1.4413998785317976E-07</v>
      </c>
      <c r="N150" s="91">
        <f>Model!N47</f>
        <v>0</v>
      </c>
      <c r="O150" s="91">
        <f>Model!O47</f>
        <v>0</v>
      </c>
      <c r="P150" s="91">
        <f>Model!P47</f>
        <v>0</v>
      </c>
      <c r="Q150" s="91">
        <f>Model!Q47</f>
        <v>0</v>
      </c>
      <c r="R150" s="91">
        <f>Model!R47</f>
        <v>0</v>
      </c>
      <c r="S150" s="91">
        <f>Model!S47</f>
        <v>0</v>
      </c>
      <c r="T150" s="91">
        <f>Model!T47</f>
        <v>0</v>
      </c>
      <c r="U150" s="91">
        <f>Model!U47</f>
        <v>0</v>
      </c>
    </row>
    <row r="151" spans="1:21" ht="12.75">
      <c r="A151" s="93">
        <f t="shared" si="48"/>
        <v>13</v>
      </c>
      <c r="B151" s="91">
        <f>Model!B48</f>
        <v>0</v>
      </c>
      <c r="C151" s="91">
        <f>Model!C48</f>
        <v>0</v>
      </c>
      <c r="D151" s="91">
        <f>Model!D48</f>
        <v>0</v>
      </c>
      <c r="E151" s="91">
        <f>Model!E48</f>
        <v>0</v>
      </c>
      <c r="F151" s="91">
        <f>Model!F48</f>
        <v>0</v>
      </c>
      <c r="G151" s="91">
        <f>Model!G48</f>
        <v>0</v>
      </c>
      <c r="H151" s="91">
        <f>Model!H48</f>
        <v>0</v>
      </c>
      <c r="I151" s="91">
        <f>Model!I48</f>
        <v>0</v>
      </c>
      <c r="J151" s="91">
        <f>Model!J48</f>
        <v>0</v>
      </c>
      <c r="K151" s="91">
        <f>Model!K48</f>
        <v>0</v>
      </c>
      <c r="L151" s="91">
        <f>Model!L48</f>
        <v>0</v>
      </c>
      <c r="M151" s="91">
        <f>Model!M48</f>
        <v>0</v>
      </c>
      <c r="N151" s="91">
        <f>Model!N48</f>
        <v>3.415173632831407E-06</v>
      </c>
      <c r="O151" s="91">
        <f>Model!O48</f>
        <v>0</v>
      </c>
      <c r="P151" s="91">
        <f>Model!P48</f>
        <v>0</v>
      </c>
      <c r="Q151" s="91">
        <f>Model!Q48</f>
        <v>0</v>
      </c>
      <c r="R151" s="91">
        <f>Model!R48</f>
        <v>0</v>
      </c>
      <c r="S151" s="91">
        <f>Model!S48</f>
        <v>0</v>
      </c>
      <c r="T151" s="91">
        <f>Model!T48</f>
        <v>0</v>
      </c>
      <c r="U151" s="91">
        <f>Model!U48</f>
        <v>0</v>
      </c>
    </row>
    <row r="152" spans="1:21" ht="12.75">
      <c r="A152" s="93">
        <f t="shared" si="48"/>
        <v>14</v>
      </c>
      <c r="B152" s="91">
        <f>Model!B49</f>
        <v>0</v>
      </c>
      <c r="C152" s="91">
        <f>Model!C49</f>
        <v>0</v>
      </c>
      <c r="D152" s="91">
        <f>Model!D49</f>
        <v>0</v>
      </c>
      <c r="E152" s="91">
        <f>Model!E49</f>
        <v>0</v>
      </c>
      <c r="F152" s="91">
        <f>Model!F49</f>
        <v>0</v>
      </c>
      <c r="G152" s="91">
        <f>Model!G49</f>
        <v>0</v>
      </c>
      <c r="H152" s="91">
        <f>Model!H49</f>
        <v>0</v>
      </c>
      <c r="I152" s="91">
        <f>Model!I49</f>
        <v>0</v>
      </c>
      <c r="J152" s="91">
        <f>Model!J49</f>
        <v>0</v>
      </c>
      <c r="K152" s="91">
        <f>Model!K49</f>
        <v>0</v>
      </c>
      <c r="L152" s="91">
        <f>Model!L49</f>
        <v>0</v>
      </c>
      <c r="M152" s="91">
        <f>Model!M49</f>
        <v>0</v>
      </c>
      <c r="N152" s="91">
        <f>Model!N49</f>
        <v>0</v>
      </c>
      <c r="O152" s="91">
        <f>Model!O49</f>
        <v>4.3411332947614854E-05</v>
      </c>
      <c r="P152" s="91">
        <f>Model!P49</f>
        <v>0</v>
      </c>
      <c r="Q152" s="91">
        <f>Model!Q49</f>
        <v>0</v>
      </c>
      <c r="R152" s="91">
        <f>Model!R49</f>
        <v>0</v>
      </c>
      <c r="S152" s="91">
        <f>Model!S49</f>
        <v>0</v>
      </c>
      <c r="T152" s="91">
        <f>Model!T49</f>
        <v>0</v>
      </c>
      <c r="U152" s="91">
        <f>Model!U49</f>
        <v>0</v>
      </c>
    </row>
    <row r="153" spans="1:21" ht="12.75">
      <c r="A153" s="93">
        <f t="shared" si="48"/>
        <v>15</v>
      </c>
      <c r="B153" s="91">
        <f>Model!B50</f>
        <v>0</v>
      </c>
      <c r="C153" s="91">
        <f>Model!C50</f>
        <v>0</v>
      </c>
      <c r="D153" s="91">
        <f>Model!D50</f>
        <v>0</v>
      </c>
      <c r="E153" s="91">
        <f>Model!E50</f>
        <v>0</v>
      </c>
      <c r="F153" s="91">
        <f>Model!F50</f>
        <v>0</v>
      </c>
      <c r="G153" s="91">
        <f>Model!G50</f>
        <v>0</v>
      </c>
      <c r="H153" s="91">
        <f>Model!H50</f>
        <v>0</v>
      </c>
      <c r="I153" s="91">
        <f>Model!I50</f>
        <v>0</v>
      </c>
      <c r="J153" s="91">
        <f>Model!J50</f>
        <v>0</v>
      </c>
      <c r="K153" s="91">
        <f>Model!K50</f>
        <v>0</v>
      </c>
      <c r="L153" s="91">
        <f>Model!L50</f>
        <v>0</v>
      </c>
      <c r="M153" s="91">
        <f>Model!M50</f>
        <v>0</v>
      </c>
      <c r="N153" s="91">
        <f>Model!N50</f>
        <v>0</v>
      </c>
      <c r="O153" s="91">
        <f>Model!O50</f>
        <v>0</v>
      </c>
      <c r="P153" s="91">
        <f>Model!P50</f>
        <v>0.0003287869307400495</v>
      </c>
      <c r="Q153" s="91">
        <f>Model!Q50</f>
        <v>0</v>
      </c>
      <c r="R153" s="91">
        <f>Model!R50</f>
        <v>0</v>
      </c>
      <c r="S153" s="91">
        <f>Model!S50</f>
        <v>0</v>
      </c>
      <c r="T153" s="91">
        <f>Model!T50</f>
        <v>0</v>
      </c>
      <c r="U153" s="91">
        <f>Model!U50</f>
        <v>0</v>
      </c>
    </row>
    <row r="154" spans="1:21" ht="12.75">
      <c r="A154" s="93">
        <f t="shared" si="48"/>
        <v>16</v>
      </c>
      <c r="B154" s="91">
        <f>Model!B51</f>
        <v>0</v>
      </c>
      <c r="C154" s="91">
        <f>Model!C51</f>
        <v>0</v>
      </c>
      <c r="D154" s="91">
        <f>Model!D51</f>
        <v>0</v>
      </c>
      <c r="E154" s="91">
        <f>Model!E51</f>
        <v>0</v>
      </c>
      <c r="F154" s="91">
        <f>Model!F51</f>
        <v>0</v>
      </c>
      <c r="G154" s="91">
        <f>Model!G51</f>
        <v>0</v>
      </c>
      <c r="H154" s="91">
        <f>Model!H51</f>
        <v>0</v>
      </c>
      <c r="I154" s="91">
        <f>Model!I51</f>
        <v>0</v>
      </c>
      <c r="J154" s="91">
        <f>Model!J51</f>
        <v>0</v>
      </c>
      <c r="K154" s="91">
        <f>Model!K51</f>
        <v>0</v>
      </c>
      <c r="L154" s="91">
        <f>Model!L51</f>
        <v>0</v>
      </c>
      <c r="M154" s="91">
        <f>Model!M51</f>
        <v>0</v>
      </c>
      <c r="N154" s="91">
        <f>Model!N51</f>
        <v>0</v>
      </c>
      <c r="O154" s="91">
        <f>Model!O51</f>
        <v>0</v>
      </c>
      <c r="P154" s="91">
        <f>Model!P51</f>
        <v>0</v>
      </c>
      <c r="Q154" s="91">
        <f>Model!Q51</f>
        <v>0.0016567617824464478</v>
      </c>
      <c r="R154" s="91">
        <f>Model!R51</f>
        <v>0</v>
      </c>
      <c r="S154" s="91">
        <f>Model!S51</f>
        <v>0</v>
      </c>
      <c r="T154" s="91">
        <f>Model!T51</f>
        <v>0</v>
      </c>
      <c r="U154" s="91">
        <f>Model!U51</f>
        <v>0</v>
      </c>
    </row>
    <row r="155" spans="1:21" ht="12.75">
      <c r="A155" s="93">
        <f t="shared" si="48"/>
        <v>17</v>
      </c>
      <c r="B155" s="91">
        <f>Model!B52</f>
        <v>0</v>
      </c>
      <c r="C155" s="91">
        <f>Model!C52</f>
        <v>0</v>
      </c>
      <c r="D155" s="91">
        <f>Model!D52</f>
        <v>0</v>
      </c>
      <c r="E155" s="91">
        <f>Model!E52</f>
        <v>0</v>
      </c>
      <c r="F155" s="91">
        <f>Model!F52</f>
        <v>0</v>
      </c>
      <c r="G155" s="91">
        <f>Model!G52</f>
        <v>0</v>
      </c>
      <c r="H155" s="91">
        <f>Model!H52</f>
        <v>0</v>
      </c>
      <c r="I155" s="91">
        <f>Model!I52</f>
        <v>0</v>
      </c>
      <c r="J155" s="91">
        <f>Model!J52</f>
        <v>0</v>
      </c>
      <c r="K155" s="91">
        <f>Model!K52</f>
        <v>0</v>
      </c>
      <c r="L155" s="91">
        <f>Model!L52</f>
        <v>0</v>
      </c>
      <c r="M155" s="91">
        <f>Model!M52</f>
        <v>0</v>
      </c>
      <c r="N155" s="91">
        <f>Model!N52</f>
        <v>0</v>
      </c>
      <c r="O155" s="91">
        <f>Model!O52</f>
        <v>0</v>
      </c>
      <c r="P155" s="91">
        <f>Model!P52</f>
        <v>0</v>
      </c>
      <c r="Q155" s="91">
        <f>Model!Q52</f>
        <v>0</v>
      </c>
      <c r="R155" s="91">
        <f>Model!R52</f>
        <v>0.0060266114074221016</v>
      </c>
      <c r="S155" s="91">
        <f>Model!S52</f>
        <v>0</v>
      </c>
      <c r="T155" s="91">
        <f>Model!T52</f>
        <v>0</v>
      </c>
      <c r="U155" s="91">
        <f>Model!U52</f>
        <v>0</v>
      </c>
    </row>
    <row r="156" spans="1:21" ht="12.75">
      <c r="A156" s="93">
        <f t="shared" si="48"/>
        <v>18</v>
      </c>
      <c r="B156" s="91">
        <f>Model!B53</f>
        <v>0</v>
      </c>
      <c r="C156" s="91">
        <f>Model!C53</f>
        <v>0</v>
      </c>
      <c r="D156" s="91">
        <f>Model!D53</f>
        <v>0</v>
      </c>
      <c r="E156" s="91">
        <f>Model!E53</f>
        <v>0</v>
      </c>
      <c r="F156" s="91">
        <f>Model!F53</f>
        <v>0</v>
      </c>
      <c r="G156" s="91">
        <f>Model!G53</f>
        <v>0</v>
      </c>
      <c r="H156" s="91">
        <f>Model!H53</f>
        <v>0</v>
      </c>
      <c r="I156" s="91">
        <f>Model!I53</f>
        <v>0</v>
      </c>
      <c r="J156" s="91">
        <f>Model!J53</f>
        <v>0</v>
      </c>
      <c r="K156" s="91">
        <f>Model!K53</f>
        <v>0</v>
      </c>
      <c r="L156" s="91">
        <f>Model!L53</f>
        <v>0</v>
      </c>
      <c r="M156" s="91">
        <f>Model!M53</f>
        <v>0</v>
      </c>
      <c r="N156" s="91">
        <f>Model!N53</f>
        <v>0</v>
      </c>
      <c r="O156" s="91">
        <f>Model!O53</f>
        <v>0</v>
      </c>
      <c r="P156" s="91">
        <f>Model!P53</f>
        <v>0</v>
      </c>
      <c r="Q156" s="91">
        <f>Model!Q53</f>
        <v>0</v>
      </c>
      <c r="R156" s="91">
        <f>Model!R53</f>
        <v>0</v>
      </c>
      <c r="S156" s="91">
        <f>Model!S53</f>
        <v>0.01689715745552321</v>
      </c>
      <c r="T156" s="91">
        <f>Model!T53</f>
        <v>0</v>
      </c>
      <c r="U156" s="91">
        <f>Model!U53</f>
        <v>0</v>
      </c>
    </row>
    <row r="157" spans="1:21" ht="12.75">
      <c r="A157" s="93">
        <f t="shared" si="48"/>
        <v>19</v>
      </c>
      <c r="B157" s="91">
        <f>Model!B54</f>
        <v>0</v>
      </c>
      <c r="C157" s="91">
        <f>Model!C54</f>
        <v>0</v>
      </c>
      <c r="D157" s="91">
        <f>Model!D54</f>
        <v>0</v>
      </c>
      <c r="E157" s="91">
        <f>Model!E54</f>
        <v>0</v>
      </c>
      <c r="F157" s="91">
        <f>Model!F54</f>
        <v>0</v>
      </c>
      <c r="G157" s="91">
        <f>Model!G54</f>
        <v>0</v>
      </c>
      <c r="H157" s="91">
        <f>Model!H54</f>
        <v>0</v>
      </c>
      <c r="I157" s="91">
        <f>Model!I54</f>
        <v>0</v>
      </c>
      <c r="J157" s="91">
        <f>Model!J54</f>
        <v>0</v>
      </c>
      <c r="K157" s="91">
        <f>Model!K54</f>
        <v>0</v>
      </c>
      <c r="L157" s="91">
        <f>Model!L54</f>
        <v>0</v>
      </c>
      <c r="M157" s="91">
        <f>Model!M54</f>
        <v>0</v>
      </c>
      <c r="N157" s="91">
        <f>Model!N54</f>
        <v>0</v>
      </c>
      <c r="O157" s="91">
        <f>Model!O54</f>
        <v>0</v>
      </c>
      <c r="P157" s="91">
        <f>Model!P54</f>
        <v>0</v>
      </c>
      <c r="Q157" s="91">
        <f>Model!Q54</f>
        <v>0</v>
      </c>
      <c r="R157" s="91">
        <f>Model!R54</f>
        <v>0</v>
      </c>
      <c r="S157" s="91">
        <f>Model!S54</f>
        <v>0</v>
      </c>
      <c r="T157" s="91">
        <f>Model!T54</f>
        <v>0.03794511939039475</v>
      </c>
      <c r="U157" s="91">
        <f>Model!U54</f>
        <v>0</v>
      </c>
    </row>
    <row r="158" spans="1:21" ht="12.75">
      <c r="A158" s="93">
        <f t="shared" si="48"/>
        <v>20</v>
      </c>
      <c r="B158" s="91">
        <f>Model!B55</f>
        <v>0</v>
      </c>
      <c r="C158" s="91">
        <f>Model!C55</f>
        <v>0</v>
      </c>
      <c r="D158" s="91">
        <f>Model!D55</f>
        <v>0</v>
      </c>
      <c r="E158" s="91">
        <f>Model!E55</f>
        <v>0</v>
      </c>
      <c r="F158" s="91">
        <f>Model!F55</f>
        <v>0</v>
      </c>
      <c r="G158" s="91">
        <f>Model!G55</f>
        <v>0</v>
      </c>
      <c r="H158" s="91">
        <f>Model!H55</f>
        <v>0</v>
      </c>
      <c r="I158" s="91">
        <f>Model!I55</f>
        <v>0</v>
      </c>
      <c r="J158" s="91">
        <f>Model!J55</f>
        <v>0</v>
      </c>
      <c r="K158" s="91">
        <f>Model!K55</f>
        <v>0</v>
      </c>
      <c r="L158" s="91">
        <f>Model!L55</f>
        <v>0</v>
      </c>
      <c r="M158" s="91">
        <f>Model!M55</f>
        <v>0</v>
      </c>
      <c r="N158" s="91">
        <f>Model!N55</f>
        <v>0</v>
      </c>
      <c r="O158" s="91">
        <f>Model!O55</f>
        <v>0</v>
      </c>
      <c r="P158" s="91">
        <f>Model!P55</f>
        <v>0</v>
      </c>
      <c r="Q158" s="91">
        <f>Model!Q55</f>
        <v>0</v>
      </c>
      <c r="R158" s="91">
        <f>Model!R55</f>
        <v>0</v>
      </c>
      <c r="S158" s="91">
        <f>Model!S55</f>
        <v>0</v>
      </c>
      <c r="T158" s="91">
        <f>Model!T55</f>
        <v>0</v>
      </c>
      <c r="U158" s="91">
        <f>Model!U55</f>
        <v>1</v>
      </c>
    </row>
    <row r="161" ht="12.75">
      <c r="B161" s="91" t="s">
        <v>13</v>
      </c>
    </row>
    <row r="162" spans="2:21" ht="12.75">
      <c r="B162" s="93">
        <v>1</v>
      </c>
      <c r="C162" s="93">
        <f aca="true" t="shared" si="49" ref="C162:U162">B162+1</f>
        <v>2</v>
      </c>
      <c r="D162" s="93">
        <f t="shared" si="49"/>
        <v>3</v>
      </c>
      <c r="E162" s="93">
        <f t="shared" si="49"/>
        <v>4</v>
      </c>
      <c r="F162" s="93">
        <f t="shared" si="49"/>
        <v>5</v>
      </c>
      <c r="G162" s="93">
        <f t="shared" si="49"/>
        <v>6</v>
      </c>
      <c r="H162" s="93">
        <f t="shared" si="49"/>
        <v>7</v>
      </c>
      <c r="I162" s="93">
        <f t="shared" si="49"/>
        <v>8</v>
      </c>
      <c r="J162" s="93">
        <f t="shared" si="49"/>
        <v>9</v>
      </c>
      <c r="K162" s="93">
        <f t="shared" si="49"/>
        <v>10</v>
      </c>
      <c r="L162" s="93">
        <f t="shared" si="49"/>
        <v>11</v>
      </c>
      <c r="M162" s="93">
        <f t="shared" si="49"/>
        <v>12</v>
      </c>
      <c r="N162" s="93">
        <f t="shared" si="49"/>
        <v>13</v>
      </c>
      <c r="O162" s="93">
        <f t="shared" si="49"/>
        <v>14</v>
      </c>
      <c r="P162" s="93">
        <f t="shared" si="49"/>
        <v>15</v>
      </c>
      <c r="Q162" s="93">
        <f t="shared" si="49"/>
        <v>16</v>
      </c>
      <c r="R162" s="93">
        <f t="shared" si="49"/>
        <v>17</v>
      </c>
      <c r="S162" s="93">
        <f t="shared" si="49"/>
        <v>18</v>
      </c>
      <c r="T162" s="93">
        <f t="shared" si="49"/>
        <v>19</v>
      </c>
      <c r="U162" s="93">
        <f t="shared" si="49"/>
        <v>20</v>
      </c>
    </row>
    <row r="163" spans="1:21" ht="12.75">
      <c r="A163" s="93">
        <v>1</v>
      </c>
      <c r="B163" s="91">
        <f>Model!B60</f>
        <v>1</v>
      </c>
      <c r="C163" s="91">
        <f>Model!C60</f>
        <v>0</v>
      </c>
      <c r="D163" s="91">
        <f>Model!D60</f>
        <v>0</v>
      </c>
      <c r="E163" s="91">
        <f>Model!E60</f>
        <v>0</v>
      </c>
      <c r="F163" s="91">
        <f>Model!F60</f>
        <v>0</v>
      </c>
      <c r="G163" s="91">
        <f>Model!G60</f>
        <v>0</v>
      </c>
      <c r="H163" s="91">
        <f>Model!H60</f>
        <v>0</v>
      </c>
      <c r="I163" s="91">
        <f>Model!I60</f>
        <v>0</v>
      </c>
      <c r="J163" s="91">
        <f>Model!J60</f>
        <v>0</v>
      </c>
      <c r="K163" s="91">
        <f>Model!K60</f>
        <v>0</v>
      </c>
      <c r="L163" s="91">
        <f>Model!L60</f>
        <v>0</v>
      </c>
      <c r="M163" s="91">
        <f>Model!M60</f>
        <v>0</v>
      </c>
      <c r="N163" s="91">
        <f>Model!N60</f>
        <v>0</v>
      </c>
      <c r="O163" s="91">
        <f>Model!O60</f>
        <v>0</v>
      </c>
      <c r="P163" s="91">
        <f>Model!P60</f>
        <v>0</v>
      </c>
      <c r="Q163" s="91">
        <f>Model!Q60</f>
        <v>0</v>
      </c>
      <c r="R163" s="91">
        <f>Model!R60</f>
        <v>0</v>
      </c>
      <c r="S163" s="91">
        <f>Model!S60</f>
        <v>0</v>
      </c>
      <c r="T163" s="91">
        <f>Model!T60</f>
        <v>0</v>
      </c>
      <c r="U163" s="91">
        <f>Model!U60</f>
        <v>0</v>
      </c>
    </row>
    <row r="164" spans="1:21" ht="12.75">
      <c r="A164" s="93">
        <f aca="true" t="shared" si="50" ref="A164:A182">A163+1</f>
        <v>2</v>
      </c>
      <c r="B164" s="91">
        <f>Model!B61</f>
        <v>0.8414795185173517</v>
      </c>
      <c r="C164" s="91">
        <f>Model!C61</f>
        <v>1</v>
      </c>
      <c r="D164" s="91">
        <f>Model!D61</f>
        <v>0</v>
      </c>
      <c r="E164" s="91">
        <f>Model!E61</f>
        <v>0</v>
      </c>
      <c r="F164" s="91">
        <f>Model!F61</f>
        <v>0</v>
      </c>
      <c r="G164" s="91">
        <f>Model!G61</f>
        <v>0</v>
      </c>
      <c r="H164" s="91">
        <f>Model!H61</f>
        <v>0</v>
      </c>
      <c r="I164" s="91">
        <f>Model!I61</f>
        <v>0</v>
      </c>
      <c r="J164" s="91">
        <f>Model!J61</f>
        <v>0</v>
      </c>
      <c r="K164" s="91">
        <f>Model!K61</f>
        <v>0</v>
      </c>
      <c r="L164" s="91">
        <f>Model!L61</f>
        <v>0</v>
      </c>
      <c r="M164" s="91">
        <f>Model!M61</f>
        <v>0</v>
      </c>
      <c r="N164" s="91">
        <f>Model!N61</f>
        <v>0</v>
      </c>
      <c r="O164" s="91">
        <f>Model!O61</f>
        <v>0</v>
      </c>
      <c r="P164" s="91">
        <f>Model!P61</f>
        <v>0</v>
      </c>
      <c r="Q164" s="91">
        <f>Model!Q61</f>
        <v>0</v>
      </c>
      <c r="R164" s="91">
        <f>Model!R61</f>
        <v>0</v>
      </c>
      <c r="S164" s="91">
        <f>Model!S61</f>
        <v>0</v>
      </c>
      <c r="T164" s="91">
        <f>Model!T61</f>
        <v>0</v>
      </c>
      <c r="U164" s="91">
        <f>Model!U61</f>
        <v>0</v>
      </c>
    </row>
    <row r="165" spans="1:21" ht="12.75">
      <c r="A165" s="93">
        <f t="shared" si="50"/>
        <v>3</v>
      </c>
      <c r="B165" s="91">
        <f>Model!B62</f>
        <v>0.48992470807531713</v>
      </c>
      <c r="C165" s="91">
        <f>Model!C62</f>
        <v>0.845646273380083</v>
      </c>
      <c r="D165" s="91">
        <f>Model!D62</f>
        <v>1</v>
      </c>
      <c r="E165" s="91">
        <f>Model!E62</f>
        <v>0</v>
      </c>
      <c r="F165" s="91">
        <f>Model!F62</f>
        <v>0</v>
      </c>
      <c r="G165" s="91">
        <f>Model!G62</f>
        <v>0</v>
      </c>
      <c r="H165" s="91">
        <f>Model!H62</f>
        <v>0</v>
      </c>
      <c r="I165" s="91">
        <f>Model!I62</f>
        <v>0</v>
      </c>
      <c r="J165" s="91">
        <f>Model!J62</f>
        <v>0</v>
      </c>
      <c r="K165" s="91">
        <f>Model!K62</f>
        <v>0</v>
      </c>
      <c r="L165" s="91">
        <f>Model!L62</f>
        <v>0</v>
      </c>
      <c r="M165" s="91">
        <f>Model!M62</f>
        <v>0</v>
      </c>
      <c r="N165" s="91">
        <f>Model!N62</f>
        <v>0</v>
      </c>
      <c r="O165" s="91">
        <f>Model!O62</f>
        <v>0</v>
      </c>
      <c r="P165" s="91">
        <f>Model!P62</f>
        <v>0</v>
      </c>
      <c r="Q165" s="91">
        <f>Model!Q62</f>
        <v>0</v>
      </c>
      <c r="R165" s="91">
        <f>Model!R62</f>
        <v>0</v>
      </c>
      <c r="S165" s="91">
        <f>Model!S62</f>
        <v>0</v>
      </c>
      <c r="T165" s="91">
        <f>Model!T62</f>
        <v>0</v>
      </c>
      <c r="U165" s="91">
        <f>Model!U62</f>
        <v>0</v>
      </c>
    </row>
    <row r="166" spans="1:21" ht="12.75">
      <c r="A166" s="93">
        <f t="shared" si="50"/>
        <v>4</v>
      </c>
      <c r="B166" s="91">
        <f>Model!B63</f>
        <v>0.3866061511852075</v>
      </c>
      <c r="C166" s="91">
        <f>Model!C63</f>
        <v>0.7768630638662878</v>
      </c>
      <c r="D166" s="91">
        <f>Model!D63</f>
        <v>1.434673780288901</v>
      </c>
      <c r="E166" s="91">
        <f>Model!E63</f>
        <v>1</v>
      </c>
      <c r="F166" s="91">
        <f>Model!F63</f>
        <v>0</v>
      </c>
      <c r="G166" s="91">
        <f>Model!G63</f>
        <v>0</v>
      </c>
      <c r="H166" s="91">
        <f>Model!H63</f>
        <v>0</v>
      </c>
      <c r="I166" s="91">
        <f>Model!I63</f>
        <v>0</v>
      </c>
      <c r="J166" s="91">
        <f>Model!J63</f>
        <v>0</v>
      </c>
      <c r="K166" s="91">
        <f>Model!K63</f>
        <v>0</v>
      </c>
      <c r="L166" s="91">
        <f>Model!L63</f>
        <v>0</v>
      </c>
      <c r="M166" s="91">
        <f>Model!M63</f>
        <v>0</v>
      </c>
      <c r="N166" s="91">
        <f>Model!N63</f>
        <v>0</v>
      </c>
      <c r="O166" s="91">
        <f>Model!O63</f>
        <v>0</v>
      </c>
      <c r="P166" s="91">
        <f>Model!P63</f>
        <v>0</v>
      </c>
      <c r="Q166" s="91">
        <f>Model!Q63</f>
        <v>0</v>
      </c>
      <c r="R166" s="91">
        <f>Model!R63</f>
        <v>0</v>
      </c>
      <c r="S166" s="91">
        <f>Model!S63</f>
        <v>0</v>
      </c>
      <c r="T166" s="91">
        <f>Model!T63</f>
        <v>0</v>
      </c>
      <c r="U166" s="91">
        <f>Model!U63</f>
        <v>0</v>
      </c>
    </row>
    <row r="167" spans="1:21" ht="12.75">
      <c r="A167" s="93">
        <f t="shared" si="50"/>
        <v>5</v>
      </c>
      <c r="B167" s="91">
        <f>Model!B64</f>
        <v>0.31532715381113546</v>
      </c>
      <c r="C167" s="91">
        <f>Model!C64</f>
        <v>0.7219959867431697</v>
      </c>
      <c r="D167" s="91">
        <f>Model!D64</f>
        <v>1.8092605323457414</v>
      </c>
      <c r="E167" s="91">
        <f>Model!E64</f>
        <v>2.469465690227814</v>
      </c>
      <c r="F167" s="91">
        <f>Model!F64</f>
        <v>1</v>
      </c>
      <c r="G167" s="91">
        <f>Model!G64</f>
        <v>0</v>
      </c>
      <c r="H167" s="91">
        <f>Model!H64</f>
        <v>0</v>
      </c>
      <c r="I167" s="91">
        <f>Model!I64</f>
        <v>0</v>
      </c>
      <c r="J167" s="91">
        <f>Model!J64</f>
        <v>0</v>
      </c>
      <c r="K167" s="91">
        <f>Model!K64</f>
        <v>0</v>
      </c>
      <c r="L167" s="91">
        <f>Model!L64</f>
        <v>0</v>
      </c>
      <c r="M167" s="91">
        <f>Model!M64</f>
        <v>0</v>
      </c>
      <c r="N167" s="91">
        <f>Model!N64</f>
        <v>0</v>
      </c>
      <c r="O167" s="91">
        <f>Model!O64</f>
        <v>0</v>
      </c>
      <c r="P167" s="91">
        <f>Model!P64</f>
        <v>0</v>
      </c>
      <c r="Q167" s="91">
        <f>Model!Q64</f>
        <v>0</v>
      </c>
      <c r="R167" s="91">
        <f>Model!R64</f>
        <v>0</v>
      </c>
      <c r="S167" s="91">
        <f>Model!S64</f>
        <v>0</v>
      </c>
      <c r="T167" s="91">
        <f>Model!T64</f>
        <v>0</v>
      </c>
      <c r="U167" s="91">
        <f>Model!U64</f>
        <v>0</v>
      </c>
    </row>
    <row r="168" spans="1:21" ht="12.75">
      <c r="A168" s="93">
        <f t="shared" si="50"/>
        <v>6</v>
      </c>
      <c r="B168" s="91">
        <f>Model!B65</f>
        <v>0.31539855236960523</v>
      </c>
      <c r="C168" s="91">
        <f>Model!C65</f>
        <v>0.8211298684762628</v>
      </c>
      <c r="D168" s="91">
        <f>Model!D65</f>
        <v>2.75237990147777</v>
      </c>
      <c r="E168" s="91">
        <f>Model!E65</f>
        <v>6.760891009961852</v>
      </c>
      <c r="F168" s="91">
        <f>Model!F65</f>
        <v>13.271258022148952</v>
      </c>
      <c r="G168" s="91">
        <f>Model!G65</f>
        <v>1</v>
      </c>
      <c r="H168" s="91">
        <f>Model!H65</f>
        <v>0</v>
      </c>
      <c r="I168" s="91">
        <f>Model!I65</f>
        <v>0</v>
      </c>
      <c r="J168" s="91">
        <f>Model!J65</f>
        <v>0</v>
      </c>
      <c r="K168" s="91">
        <f>Model!K65</f>
        <v>0</v>
      </c>
      <c r="L168" s="91">
        <f>Model!L65</f>
        <v>0</v>
      </c>
      <c r="M168" s="91">
        <f>Model!M65</f>
        <v>0</v>
      </c>
      <c r="N168" s="91">
        <f>Model!N65</f>
        <v>0</v>
      </c>
      <c r="O168" s="91">
        <f>Model!O65</f>
        <v>0</v>
      </c>
      <c r="P168" s="91">
        <f>Model!P65</f>
        <v>0</v>
      </c>
      <c r="Q168" s="91">
        <f>Model!Q65</f>
        <v>0</v>
      </c>
      <c r="R168" s="91">
        <f>Model!R65</f>
        <v>0</v>
      </c>
      <c r="S168" s="91">
        <f>Model!S65</f>
        <v>0</v>
      </c>
      <c r="T168" s="91">
        <f>Model!T65</f>
        <v>0</v>
      </c>
      <c r="U168" s="91">
        <f>Model!U65</f>
        <v>0</v>
      </c>
    </row>
    <row r="169" spans="1:21" ht="12.75">
      <c r="A169" s="93">
        <f t="shared" si="50"/>
        <v>7</v>
      </c>
      <c r="B169" s="91">
        <f>Model!B66</f>
        <v>0.3690761884015493</v>
      </c>
      <c r="C169" s="91">
        <f>Model!C66</f>
        <v>1.1198146080549012</v>
      </c>
      <c r="D169" s="91">
        <f>Model!D66</f>
        <v>5.378875282277542</v>
      </c>
      <c r="E169" s="91">
        <f>Model!E66</f>
        <v>30.336464316161884</v>
      </c>
      <c r="F169" s="91">
        <f>Model!F66</f>
        <v>-219.81179245279895</v>
      </c>
      <c r="G169" s="91">
        <f>Model!G66</f>
        <v>-7.495387879153374</v>
      </c>
      <c r="H169" s="91">
        <f>Model!H66</f>
        <v>1</v>
      </c>
      <c r="I169" s="91">
        <f>Model!I66</f>
        <v>0</v>
      </c>
      <c r="J169" s="91">
        <f>Model!J66</f>
        <v>0</v>
      </c>
      <c r="K169" s="91">
        <f>Model!K66</f>
        <v>0</v>
      </c>
      <c r="L169" s="91">
        <f>Model!L66</f>
        <v>0</v>
      </c>
      <c r="M169" s="91">
        <f>Model!M66</f>
        <v>0</v>
      </c>
      <c r="N169" s="91">
        <f>Model!N66</f>
        <v>0</v>
      </c>
      <c r="O169" s="91">
        <f>Model!O66</f>
        <v>0</v>
      </c>
      <c r="P169" s="91">
        <f>Model!P66</f>
        <v>0</v>
      </c>
      <c r="Q169" s="91">
        <f>Model!Q66</f>
        <v>0</v>
      </c>
      <c r="R169" s="91">
        <f>Model!R66</f>
        <v>0</v>
      </c>
      <c r="S169" s="91">
        <f>Model!S66</f>
        <v>0</v>
      </c>
      <c r="T169" s="91">
        <f>Model!T66</f>
        <v>0</v>
      </c>
      <c r="U169" s="91">
        <f>Model!U66</f>
        <v>0</v>
      </c>
    </row>
    <row r="170" spans="1:21" ht="12.75">
      <c r="A170" s="93">
        <f t="shared" si="50"/>
        <v>8</v>
      </c>
      <c r="B170" s="91">
        <f>Model!B67</f>
        <v>0.4668587821745867</v>
      </c>
      <c r="C170" s="91">
        <f>Model!C67</f>
        <v>1.7310258161682708</v>
      </c>
      <c r="D170" s="91">
        <f>Model!D67</f>
        <v>14.057925556405731</v>
      </c>
      <c r="E170" s="91">
        <f>Model!E67</f>
        <v>926.1126630245105</v>
      </c>
      <c r="F170" s="91">
        <f>Model!F67</f>
        <v>695.2981275025771</v>
      </c>
      <c r="G170" s="91">
        <f>Model!G67</f>
        <v>18.414207610962695</v>
      </c>
      <c r="H170" s="91">
        <f>Model!H67</f>
        <v>-4.144433270397369</v>
      </c>
      <c r="I170" s="91">
        <f>Model!I67</f>
        <v>1</v>
      </c>
      <c r="J170" s="91">
        <f>Model!J67</f>
        <v>0</v>
      </c>
      <c r="K170" s="91">
        <f>Model!K67</f>
        <v>0</v>
      </c>
      <c r="L170" s="91">
        <f>Model!L67</f>
        <v>0</v>
      </c>
      <c r="M170" s="91">
        <f>Model!M67</f>
        <v>0</v>
      </c>
      <c r="N170" s="91">
        <f>Model!N67</f>
        <v>0</v>
      </c>
      <c r="O170" s="91">
        <f>Model!O67</f>
        <v>0</v>
      </c>
      <c r="P170" s="91">
        <f>Model!P67</f>
        <v>0</v>
      </c>
      <c r="Q170" s="91">
        <f>Model!Q67</f>
        <v>0</v>
      </c>
      <c r="R170" s="91">
        <f>Model!R67</f>
        <v>0</v>
      </c>
      <c r="S170" s="91">
        <f>Model!S67</f>
        <v>0</v>
      </c>
      <c r="T170" s="91">
        <f>Model!T67</f>
        <v>0</v>
      </c>
      <c r="U170" s="91">
        <f>Model!U67</f>
        <v>0</v>
      </c>
    </row>
    <row r="171" spans="1:21" ht="12.75">
      <c r="A171" s="93">
        <f t="shared" si="50"/>
        <v>9</v>
      </c>
      <c r="B171" s="91">
        <f>Model!B68</f>
        <v>0.7086193587244535</v>
      </c>
      <c r="C171" s="91">
        <f>Model!C68</f>
        <v>3.4692456988710973</v>
      </c>
      <c r="D171" s="91">
        <f>Model!D68</f>
        <v>73.32818596675254</v>
      </c>
      <c r="E171" s="91">
        <f>Model!E68</f>
        <v>-3857.7280857587834</v>
      </c>
      <c r="F171" s="91">
        <f>Model!F68</f>
        <v>-993.531574232875</v>
      </c>
      <c r="G171" s="91">
        <f>Model!G68</f>
        <v>-22.328563062794696</v>
      </c>
      <c r="H171" s="91">
        <f>Model!H68</f>
        <v>6.923306256817931</v>
      </c>
      <c r="I171" s="91">
        <f>Model!I68</f>
        <v>-3.546579468693437</v>
      </c>
      <c r="J171" s="91">
        <f>Model!J68</f>
        <v>1</v>
      </c>
      <c r="K171" s="91">
        <f>Model!K68</f>
        <v>0</v>
      </c>
      <c r="L171" s="91">
        <f>Model!L68</f>
        <v>0</v>
      </c>
      <c r="M171" s="91">
        <f>Model!M68</f>
        <v>0</v>
      </c>
      <c r="N171" s="91">
        <f>Model!N68</f>
        <v>0</v>
      </c>
      <c r="O171" s="91">
        <f>Model!O68</f>
        <v>0</v>
      </c>
      <c r="P171" s="91">
        <f>Model!P68</f>
        <v>0</v>
      </c>
      <c r="Q171" s="91">
        <f>Model!Q68</f>
        <v>0</v>
      </c>
      <c r="R171" s="91">
        <f>Model!R68</f>
        <v>0</v>
      </c>
      <c r="S171" s="91">
        <f>Model!S68</f>
        <v>0</v>
      </c>
      <c r="T171" s="91">
        <f>Model!T68</f>
        <v>0</v>
      </c>
      <c r="U171" s="91">
        <f>Model!U68</f>
        <v>0</v>
      </c>
    </row>
    <row r="172" spans="1:21" ht="12.75">
      <c r="A172" s="93">
        <f t="shared" si="50"/>
        <v>10</v>
      </c>
      <c r="B172" s="91">
        <f>Model!B69</f>
        <v>1.0723189629781267</v>
      </c>
      <c r="C172" s="91">
        <f>Model!C69</f>
        <v>8.17404265439803</v>
      </c>
      <c r="D172" s="91">
        <f>Model!D69</f>
        <v>-2266.6266070417687</v>
      </c>
      <c r="E172" s="91">
        <f>Model!E69</f>
        <v>5667.0850893542665</v>
      </c>
      <c r="F172" s="91">
        <f>Model!F69</f>
        <v>719.3866144776854</v>
      </c>
      <c r="G172" s="91">
        <f>Model!G69</f>
        <v>14.191198945319314</v>
      </c>
      <c r="H172" s="91">
        <f>Model!H69</f>
        <v>-5.647527410370146</v>
      </c>
      <c r="I172" s="91">
        <f>Model!I69</f>
        <v>4.766390850594543</v>
      </c>
      <c r="J172" s="91">
        <f>Model!J69</f>
        <v>-3.132289951475784</v>
      </c>
      <c r="K172" s="91">
        <f>Model!K69</f>
        <v>1</v>
      </c>
      <c r="L172" s="91">
        <f>Model!L69</f>
        <v>0</v>
      </c>
      <c r="M172" s="91">
        <f>Model!M69</f>
        <v>0</v>
      </c>
      <c r="N172" s="91">
        <f>Model!N69</f>
        <v>0</v>
      </c>
      <c r="O172" s="91">
        <f>Model!O69</f>
        <v>0</v>
      </c>
      <c r="P172" s="91">
        <f>Model!P69</f>
        <v>0</v>
      </c>
      <c r="Q172" s="91">
        <f>Model!Q69</f>
        <v>0</v>
      </c>
      <c r="R172" s="91">
        <f>Model!R69</f>
        <v>0</v>
      </c>
      <c r="S172" s="91">
        <f>Model!S69</f>
        <v>0</v>
      </c>
      <c r="T172" s="91">
        <f>Model!T69</f>
        <v>0</v>
      </c>
      <c r="U172" s="91">
        <f>Model!U69</f>
        <v>0</v>
      </c>
    </row>
    <row r="173" spans="1:21" ht="12.75">
      <c r="A173" s="93">
        <f t="shared" si="50"/>
        <v>11</v>
      </c>
      <c r="B173" s="91">
        <f>Model!B70</f>
        <v>1.9517806804945719</v>
      </c>
      <c r="C173" s="91">
        <f>Model!C70</f>
        <v>31.647800583350225</v>
      </c>
      <c r="D173" s="91">
        <f>Model!D70</f>
        <v>6321.135605630313</v>
      </c>
      <c r="E173" s="91">
        <f>Model!E70</f>
        <v>-4128.4245618055675</v>
      </c>
      <c r="F173" s="91">
        <f>Model!F70</f>
        <v>-265.17840442809415</v>
      </c>
      <c r="G173" s="91">
        <f>Model!G70</f>
        <v>-4.521553911041957</v>
      </c>
      <c r="H173" s="91">
        <f>Model!H70</f>
        <v>2.36378614440675</v>
      </c>
      <c r="I173" s="91">
        <f>Model!I70</f>
        <v>-3.215751275090701</v>
      </c>
      <c r="J173" s="91">
        <f>Model!J70</f>
        <v>3.9899118854841165</v>
      </c>
      <c r="K173" s="91">
        <f>Model!K70</f>
        <v>-3.2002338615180497</v>
      </c>
      <c r="L173" s="91">
        <f>Model!L70</f>
        <v>1</v>
      </c>
      <c r="M173" s="91">
        <f>Model!M70</f>
        <v>0</v>
      </c>
      <c r="N173" s="91">
        <f>Model!N70</f>
        <v>0</v>
      </c>
      <c r="O173" s="91">
        <f>Model!O70</f>
        <v>0</v>
      </c>
      <c r="P173" s="91">
        <f>Model!P70</f>
        <v>0</v>
      </c>
      <c r="Q173" s="91">
        <f>Model!Q70</f>
        <v>0</v>
      </c>
      <c r="R173" s="91">
        <f>Model!R70</f>
        <v>0</v>
      </c>
      <c r="S173" s="91">
        <f>Model!S70</f>
        <v>0</v>
      </c>
      <c r="T173" s="91">
        <f>Model!T70</f>
        <v>0</v>
      </c>
      <c r="U173" s="91">
        <f>Model!U70</f>
        <v>0</v>
      </c>
    </row>
    <row r="174" spans="1:21" ht="12.75">
      <c r="A174" s="93">
        <f t="shared" si="50"/>
        <v>12</v>
      </c>
      <c r="B174" s="91">
        <f>Model!B71</f>
        <v>4.136434183219456</v>
      </c>
      <c r="C174" s="91">
        <f>Model!C71</f>
        <v>579.4124887387873</v>
      </c>
      <c r="D174" s="91">
        <f>Model!D71</f>
        <v>-7291.833461908629</v>
      </c>
      <c r="E174" s="91">
        <f>Model!E71</f>
        <v>1637.4939746940665</v>
      </c>
      <c r="F174" s="91">
        <f>Model!F71</f>
        <v>52.44047794513969</v>
      </c>
      <c r="G174" s="91">
        <f>Model!G71</f>
        <v>0.7590285819632724</v>
      </c>
      <c r="H174" s="91">
        <f>Model!H71</f>
        <v>-0.5367283819439105</v>
      </c>
      <c r="I174" s="91">
        <f>Model!I71</f>
        <v>1.185552676245597</v>
      </c>
      <c r="J174" s="91">
        <f>Model!J71</f>
        <v>-2.5935492843220196</v>
      </c>
      <c r="K174" s="91">
        <f>Model!K71</f>
        <v>4.0197306516372455</v>
      </c>
      <c r="L174" s="91">
        <f>Model!L71</f>
        <v>-3.0775485062333052</v>
      </c>
      <c r="M174" s="91">
        <f>Model!M71</f>
        <v>1</v>
      </c>
      <c r="N174" s="91">
        <f>Model!N71</f>
        <v>0</v>
      </c>
      <c r="O174" s="91">
        <f>Model!O71</f>
        <v>0</v>
      </c>
      <c r="P174" s="91">
        <f>Model!P71</f>
        <v>0</v>
      </c>
      <c r="Q174" s="91">
        <f>Model!Q71</f>
        <v>0</v>
      </c>
      <c r="R174" s="91">
        <f>Model!R71</f>
        <v>0</v>
      </c>
      <c r="S174" s="91">
        <f>Model!S71</f>
        <v>0</v>
      </c>
      <c r="T174" s="91">
        <f>Model!T71</f>
        <v>0</v>
      </c>
      <c r="U174" s="91">
        <f>Model!U71</f>
        <v>0</v>
      </c>
    </row>
    <row r="175" spans="1:21" ht="12.75">
      <c r="A175" s="93">
        <f t="shared" si="50"/>
        <v>13</v>
      </c>
      <c r="B175" s="91">
        <f>Model!B72</f>
        <v>11.869015712499746</v>
      </c>
      <c r="C175" s="91">
        <f>Model!C72</f>
        <v>-2368.807928428499</v>
      </c>
      <c r="D175" s="91">
        <f>Model!D72</f>
        <v>4263.56561061619</v>
      </c>
      <c r="E175" s="91">
        <f>Model!E72</f>
        <v>-316.259511569932</v>
      </c>
      <c r="F175" s="91">
        <f>Model!F72</f>
        <v>-3.5633185432855443</v>
      </c>
      <c r="G175" s="91">
        <f>Model!G72</f>
        <v>-0.035929083039864015</v>
      </c>
      <c r="H175" s="91">
        <f>Model!H72</f>
        <v>0.046901609162358755</v>
      </c>
      <c r="I175" s="91">
        <f>Model!I72</f>
        <v>-0.20896062748676963</v>
      </c>
      <c r="J175" s="91">
        <f>Model!J72</f>
        <v>0.8754262890156521</v>
      </c>
      <c r="K175" s="91">
        <f>Model!K72</f>
        <v>-2.5305938188233985</v>
      </c>
      <c r="L175" s="91">
        <f>Model!L72</f>
        <v>3.7577723465830974</v>
      </c>
      <c r="M175" s="91">
        <f>Model!M72</f>
        <v>-3.0759470531341826</v>
      </c>
      <c r="N175" s="91">
        <f>Model!N72</f>
        <v>1</v>
      </c>
      <c r="O175" s="91">
        <f>Model!O72</f>
        <v>0</v>
      </c>
      <c r="P175" s="91">
        <f>Model!P72</f>
        <v>0</v>
      </c>
      <c r="Q175" s="91">
        <f>Model!Q72</f>
        <v>0</v>
      </c>
      <c r="R175" s="91">
        <f>Model!R72</f>
        <v>0</v>
      </c>
      <c r="S175" s="91">
        <f>Model!S72</f>
        <v>0</v>
      </c>
      <c r="T175" s="91">
        <f>Model!T72</f>
        <v>0</v>
      </c>
      <c r="U175" s="91">
        <f>Model!U72</f>
        <v>0</v>
      </c>
    </row>
    <row r="176" spans="1:21" ht="12.75">
      <c r="A176" s="93">
        <f t="shared" si="50"/>
        <v>14</v>
      </c>
      <c r="B176" s="91">
        <f>Model!B73</f>
        <v>65.2746523977461</v>
      </c>
      <c r="C176" s="91">
        <f>Model!C73</f>
        <v>3389.5752259361734</v>
      </c>
      <c r="D176" s="91">
        <f>Model!D73</f>
        <v>-1299.6668393641842</v>
      </c>
      <c r="E176" s="91">
        <f>Model!E73</f>
        <v>23.57249878512188</v>
      </c>
      <c r="F176" s="91">
        <f>Model!F73</f>
        <v>0.022118420858349735</v>
      </c>
      <c r="G176" s="91">
        <f>Model!G73</f>
        <v>0.0005714412737789493</v>
      </c>
      <c r="H176" s="91">
        <f>Model!H73</f>
        <v>-0.000548141067471779</v>
      </c>
      <c r="I176" s="91">
        <f>Model!I73</f>
        <v>0.01337227709357714</v>
      </c>
      <c r="J176" s="91">
        <f>Model!J73</f>
        <v>-0.14267536059310532</v>
      </c>
      <c r="K176" s="91">
        <f>Model!K73</f>
        <v>0.8329854278921005</v>
      </c>
      <c r="L176" s="91">
        <f>Model!L73</f>
        <v>-2.306165208252317</v>
      </c>
      <c r="M176" s="91">
        <f>Model!M73</f>
        <v>3.732710867186589</v>
      </c>
      <c r="N176" s="91">
        <f>Model!N73</f>
        <v>-3.055242062064784</v>
      </c>
      <c r="O176" s="91">
        <f>Model!O73</f>
        <v>1</v>
      </c>
      <c r="P176" s="91">
        <f>Model!P73</f>
        <v>0</v>
      </c>
      <c r="Q176" s="91">
        <f>Model!Q73</f>
        <v>0</v>
      </c>
      <c r="R176" s="91">
        <f>Model!R73</f>
        <v>0</v>
      </c>
      <c r="S176" s="91">
        <f>Model!S73</f>
        <v>0</v>
      </c>
      <c r="T176" s="91">
        <f>Model!T73</f>
        <v>0</v>
      </c>
      <c r="U176" s="91">
        <f>Model!U73</f>
        <v>0</v>
      </c>
    </row>
    <row r="177" spans="1:21" ht="12.75">
      <c r="A177" s="93">
        <f t="shared" si="50"/>
        <v>15</v>
      </c>
      <c r="B177" s="91">
        <f>Model!B74</f>
        <v>-1113.1476497524206</v>
      </c>
      <c r="C177" s="91">
        <f>Model!C74</f>
        <v>-2364.7552133758877</v>
      </c>
      <c r="D177" s="91">
        <f>Model!D74</f>
        <v>179.66517122960622</v>
      </c>
      <c r="E177" s="91">
        <f>Model!E74</f>
        <v>0.8795636460595322</v>
      </c>
      <c r="F177" s="91">
        <f>Model!F74</f>
        <v>0.05189067710377885</v>
      </c>
      <c r="G177" s="91">
        <f>Model!G74</f>
        <v>0.0012737119707871328</v>
      </c>
      <c r="H177" s="91">
        <f>Model!H74</f>
        <v>-0.00039409597875998003</v>
      </c>
      <c r="I177" s="91">
        <f>Model!I74</f>
        <v>0.0007211259913036643</v>
      </c>
      <c r="J177" s="91">
        <f>Model!J74</f>
        <v>0.0064842970213351845</v>
      </c>
      <c r="K177" s="91">
        <f>Model!K74</f>
        <v>-0.1275643211735221</v>
      </c>
      <c r="L177" s="91">
        <f>Model!L74</f>
        <v>0.7302541793414887</v>
      </c>
      <c r="M177" s="91">
        <f>Model!M74</f>
        <v>-2.266649299984481</v>
      </c>
      <c r="N177" s="91">
        <f>Model!N74</f>
        <v>3.6858017654956305</v>
      </c>
      <c r="O177" s="91">
        <f>Model!O74</f>
        <v>-3.0564259773652025</v>
      </c>
      <c r="P177" s="91">
        <f>Model!P74</f>
        <v>1</v>
      </c>
      <c r="Q177" s="91">
        <f>Model!Q74</f>
        <v>0</v>
      </c>
      <c r="R177" s="91">
        <f>Model!R74</f>
        <v>0</v>
      </c>
      <c r="S177" s="91">
        <f>Model!S74</f>
        <v>0</v>
      </c>
      <c r="T177" s="91">
        <f>Model!T74</f>
        <v>0</v>
      </c>
      <c r="U177" s="91">
        <f>Model!U74</f>
        <v>0</v>
      </c>
    </row>
    <row r="178" spans="1:21" ht="12.75">
      <c r="A178" s="93">
        <f t="shared" si="50"/>
        <v>16</v>
      </c>
      <c r="B178" s="91">
        <f>Model!B75</f>
        <v>2685.1519621141238</v>
      </c>
      <c r="C178" s="91">
        <f>Model!C75</f>
        <v>856.6170003597176</v>
      </c>
      <c r="D178" s="91">
        <f>Model!D75</f>
        <v>-5.658791645965684</v>
      </c>
      <c r="E178" s="91">
        <f>Model!E75</f>
        <v>0.5670416501158029</v>
      </c>
      <c r="F178" s="91">
        <f>Model!F75</f>
        <v>0.05013452040523329</v>
      </c>
      <c r="G178" s="91">
        <f>Model!G75</f>
        <v>0.0012356457250695385</v>
      </c>
      <c r="H178" s="91">
        <f>Model!H75</f>
        <v>-0.00035836262453096805</v>
      </c>
      <c r="I178" s="91">
        <f>Model!I75</f>
        <v>0.0004480846439616359</v>
      </c>
      <c r="J178" s="91">
        <f>Model!J75</f>
        <v>-8.375791647023873E-05</v>
      </c>
      <c r="K178" s="91">
        <f>Model!K75</f>
        <v>0.005292183394737539</v>
      </c>
      <c r="L178" s="91">
        <f>Model!L75</f>
        <v>-0.10658660268153347</v>
      </c>
      <c r="M178" s="91">
        <f>Model!M75</f>
        <v>0.711234219407943</v>
      </c>
      <c r="N178" s="91">
        <f>Model!N75</f>
        <v>-2.2321085964964134</v>
      </c>
      <c r="O178" s="91">
        <f>Model!O75</f>
        <v>3.696582327626331</v>
      </c>
      <c r="P178" s="91">
        <f>Model!P75</f>
        <v>-3.0604592104794954</v>
      </c>
      <c r="Q178" s="91">
        <f>Model!Q75</f>
        <v>1</v>
      </c>
      <c r="R178" s="91">
        <f>Model!R75</f>
        <v>0</v>
      </c>
      <c r="S178" s="91">
        <f>Model!S75</f>
        <v>0</v>
      </c>
      <c r="T178" s="91">
        <f>Model!T75</f>
        <v>0</v>
      </c>
      <c r="U178" s="91">
        <f>Model!U75</f>
        <v>0</v>
      </c>
    </row>
    <row r="179" spans="1:21" ht="12.75">
      <c r="A179" s="93">
        <f t="shared" si="50"/>
        <v>17</v>
      </c>
      <c r="B179" s="91">
        <f>Model!B76</f>
        <v>-2777.3080592948695</v>
      </c>
      <c r="C179" s="91">
        <f>Model!C76</f>
        <v>-149.97725723722706</v>
      </c>
      <c r="D179" s="91">
        <f>Model!D76</f>
        <v>-0.22719280126651673</v>
      </c>
      <c r="E179" s="91">
        <f>Model!E76</f>
        <v>0.5032528073732387</v>
      </c>
      <c r="F179" s="91">
        <f>Model!F76</f>
        <v>0.046193332449438955</v>
      </c>
      <c r="G179" s="91">
        <f>Model!G76</f>
        <v>0.0011393246570395883</v>
      </c>
      <c r="H179" s="91">
        <f>Model!H76</f>
        <v>-0.00032792758332901643</v>
      </c>
      <c r="I179" s="91">
        <f>Model!I76</f>
        <v>0.0003948707814626414</v>
      </c>
      <c r="J179" s="91">
        <f>Model!J76</f>
        <v>-0.00024751935538662575</v>
      </c>
      <c r="K179" s="91">
        <f>Model!K76</f>
        <v>0.0001844523841655728</v>
      </c>
      <c r="L179" s="91">
        <f>Model!L76</f>
        <v>0.003946523933234643</v>
      </c>
      <c r="M179" s="91">
        <f>Model!M76</f>
        <v>-0.10370451242271397</v>
      </c>
      <c r="N179" s="91">
        <f>Model!N76</f>
        <v>0.700332000405729</v>
      </c>
      <c r="O179" s="91">
        <f>Model!O76</f>
        <v>-2.242119399002301</v>
      </c>
      <c r="P179" s="91">
        <f>Model!P76</f>
        <v>3.6965537159027018</v>
      </c>
      <c r="Q179" s="91">
        <f>Model!Q76</f>
        <v>-3.0547356365714156</v>
      </c>
      <c r="R179" s="91">
        <f>Model!R76</f>
        <v>1</v>
      </c>
      <c r="S179" s="91">
        <f>Model!S76</f>
        <v>0</v>
      </c>
      <c r="T179" s="91">
        <f>Model!T76</f>
        <v>0</v>
      </c>
      <c r="U179" s="91">
        <f>Model!U76</f>
        <v>0</v>
      </c>
    </row>
    <row r="180" spans="1:21" ht="12.75">
      <c r="A180" s="93">
        <f t="shared" si="50"/>
        <v>18</v>
      </c>
      <c r="B180" s="91">
        <f>Model!B77</f>
        <v>1467.2018960104426</v>
      </c>
      <c r="C180" s="91">
        <f>Model!C77</f>
        <v>8.265492748371747</v>
      </c>
      <c r="D180" s="91">
        <f>Model!D77</f>
        <v>-0.02751682571891941</v>
      </c>
      <c r="E180" s="91">
        <f>Model!E77</f>
        <v>0.46332713755583904</v>
      </c>
      <c r="F180" s="91">
        <f>Model!F77</f>
        <v>0.04269580852917677</v>
      </c>
      <c r="G180" s="91">
        <f>Model!G77</f>
        <v>0.0010530737450803822</v>
      </c>
      <c r="H180" s="91">
        <f>Model!H77</f>
        <v>-0.0003028229160059532</v>
      </c>
      <c r="I180" s="91">
        <f>Model!I77</f>
        <v>0.00036313047657052195</v>
      </c>
      <c r="J180" s="91">
        <f>Model!J77</f>
        <v>-0.00024241829554225118</v>
      </c>
      <c r="K180" s="91">
        <f>Model!K77</f>
        <v>2.94814863545993E-05</v>
      </c>
      <c r="L180" s="91">
        <f>Model!L77</f>
        <v>-2.0210493480594141E-07</v>
      </c>
      <c r="M180" s="91">
        <f>Model!M77</f>
        <v>0.0036311911802868685</v>
      </c>
      <c r="N180" s="91">
        <f>Model!N77</f>
        <v>-0.10090563618918529</v>
      </c>
      <c r="O180" s="91">
        <f>Model!O77</f>
        <v>0.7023738847081902</v>
      </c>
      <c r="P180" s="91">
        <f>Model!P77</f>
        <v>-2.240356841131067</v>
      </c>
      <c r="Q180" s="91">
        <f>Model!Q77</f>
        <v>3.692417033911236</v>
      </c>
      <c r="R180" s="91">
        <f>Model!R77</f>
        <v>-3.059747561109023</v>
      </c>
      <c r="S180" s="91">
        <f>Model!S77</f>
        <v>1</v>
      </c>
      <c r="T180" s="91">
        <f>Model!T77</f>
        <v>0</v>
      </c>
      <c r="U180" s="91">
        <f>Model!U77</f>
        <v>0</v>
      </c>
    </row>
    <row r="181" spans="1:21" ht="12.75">
      <c r="A181" s="93">
        <f t="shared" si="50"/>
        <v>19</v>
      </c>
      <c r="B181" s="91">
        <f>Model!B78</f>
        <v>-391.52903569391117</v>
      </c>
      <c r="C181" s="91">
        <f>Model!C78</f>
        <v>0.11572636505796152</v>
      </c>
      <c r="D181" s="91">
        <f>Model!D78</f>
        <v>-0.009107052967010544</v>
      </c>
      <c r="E181" s="91">
        <f>Model!E78</f>
        <v>0.40789369831243916</v>
      </c>
      <c r="F181" s="91">
        <f>Model!F78</f>
        <v>0.037612930084390955</v>
      </c>
      <c r="G181" s="91">
        <f>Model!G78</f>
        <v>0.0009277209587488056</v>
      </c>
      <c r="H181" s="91">
        <f>Model!H78</f>
        <v>-0.0002667268800753841</v>
      </c>
      <c r="I181" s="91">
        <f>Model!I78</f>
        <v>0.0003196270002823648</v>
      </c>
      <c r="J181" s="91">
        <f>Model!J78</f>
        <v>-0.00021506191273588625</v>
      </c>
      <c r="K181" s="91">
        <f>Model!K78</f>
        <v>1.4922149899874945E-05</v>
      </c>
      <c r="L181" s="91">
        <f>Model!L78</f>
        <v>-0.00011923822016483901</v>
      </c>
      <c r="M181" s="91">
        <f>Model!M78</f>
        <v>2.014845015219639E-05</v>
      </c>
      <c r="N181" s="91">
        <f>Model!N78</f>
        <v>0.003561574590141693</v>
      </c>
      <c r="O181" s="91">
        <f>Model!O78</f>
        <v>-0.10055588671336889</v>
      </c>
      <c r="P181" s="91">
        <f>Model!P78</f>
        <v>0.6925283890442612</v>
      </c>
      <c r="Q181" s="91">
        <f>Model!Q78</f>
        <v>-2.2067841689094547</v>
      </c>
      <c r="R181" s="91">
        <f>Model!R78</f>
        <v>3.653974344001882</v>
      </c>
      <c r="S181" s="91">
        <f>Model!S78</f>
        <v>-3.0494002976838734</v>
      </c>
      <c r="T181" s="91">
        <f>Model!T78</f>
        <v>1</v>
      </c>
      <c r="U181" s="91">
        <f>Model!U78</f>
        <v>0</v>
      </c>
    </row>
    <row r="182" spans="1:21" ht="12.75">
      <c r="A182" s="93">
        <f t="shared" si="50"/>
        <v>20</v>
      </c>
      <c r="B182" s="91">
        <f>Model!B79</f>
        <v>40.43339426643776</v>
      </c>
      <c r="C182" s="91">
        <f>Model!C79</f>
        <v>-0.7530996598026793</v>
      </c>
      <c r="D182" s="91">
        <f>Model!D79</f>
        <v>-0.07817185515721245</v>
      </c>
      <c r="E182" s="91">
        <f>Model!E79</f>
        <v>4.760033320549063</v>
      </c>
      <c r="F182" s="91">
        <f>Model!F79</f>
        <v>0.4379660200720679</v>
      </c>
      <c r="G182" s="91">
        <f>Model!G79</f>
        <v>0.010797879454105095</v>
      </c>
      <c r="H182" s="91">
        <f>Model!H79</f>
        <v>-0.003106870625440277</v>
      </c>
      <c r="I182" s="91">
        <f>Model!I79</f>
        <v>0.0037287284436098183</v>
      </c>
      <c r="J182" s="91">
        <f>Model!J79</f>
        <v>-0.002519117650059839</v>
      </c>
      <c r="K182" s="91">
        <f>Model!K79</f>
        <v>0.0001548825704667436</v>
      </c>
      <c r="L182" s="91">
        <f>Model!L79</f>
        <v>-0.0015532923655654702</v>
      </c>
      <c r="M182" s="91">
        <f>Model!M79</f>
        <v>-0.001295560683593781</v>
      </c>
      <c r="N182" s="91">
        <f>Model!N79</f>
        <v>-0.0014390457411183287</v>
      </c>
      <c r="O182" s="91">
        <f>Model!O79</f>
        <v>0.0001450507463512734</v>
      </c>
      <c r="P182" s="91">
        <f>Model!P79</f>
        <v>-0.08826605333640063</v>
      </c>
      <c r="Q182" s="91">
        <f>Model!Q79</f>
        <v>0.5691027715696343</v>
      </c>
      <c r="R182" s="91">
        <f>Model!R79</f>
        <v>-1.5942267828928591</v>
      </c>
      <c r="S182" s="91">
        <f>Model!S79</f>
        <v>2.0494002976838734</v>
      </c>
      <c r="T182" s="91">
        <f>Model!T79</f>
        <v>-1</v>
      </c>
      <c r="U182" s="91">
        <f>Model!U79</f>
        <v>1</v>
      </c>
    </row>
    <row r="185" ht="12.75">
      <c r="B185" s="91" t="s">
        <v>19</v>
      </c>
    </row>
    <row r="186" spans="2:21" ht="12.75">
      <c r="B186" s="93">
        <v>1</v>
      </c>
      <c r="C186" s="93">
        <f aca="true" t="shared" si="51" ref="C186:U186">B186+1</f>
        <v>2</v>
      </c>
      <c r="D186" s="93">
        <f t="shared" si="51"/>
        <v>3</v>
      </c>
      <c r="E186" s="93">
        <f t="shared" si="51"/>
        <v>4</v>
      </c>
      <c r="F186" s="93">
        <f t="shared" si="51"/>
        <v>5</v>
      </c>
      <c r="G186" s="93">
        <f t="shared" si="51"/>
        <v>6</v>
      </c>
      <c r="H186" s="93">
        <f t="shared" si="51"/>
        <v>7</v>
      </c>
      <c r="I186" s="93">
        <f t="shared" si="51"/>
        <v>8</v>
      </c>
      <c r="J186" s="93">
        <f t="shared" si="51"/>
        <v>9</v>
      </c>
      <c r="K186" s="93">
        <f t="shared" si="51"/>
        <v>10</v>
      </c>
      <c r="L186" s="93">
        <f t="shared" si="51"/>
        <v>11</v>
      </c>
      <c r="M186" s="93">
        <f t="shared" si="51"/>
        <v>12</v>
      </c>
      <c r="N186" s="93">
        <f t="shared" si="51"/>
        <v>13</v>
      </c>
      <c r="O186" s="93">
        <f t="shared" si="51"/>
        <v>14</v>
      </c>
      <c r="P186" s="93">
        <f t="shared" si="51"/>
        <v>15</v>
      </c>
      <c r="Q186" s="93">
        <f t="shared" si="51"/>
        <v>16</v>
      </c>
      <c r="R186" s="93">
        <f t="shared" si="51"/>
        <v>17</v>
      </c>
      <c r="S186" s="93">
        <f t="shared" si="51"/>
        <v>18</v>
      </c>
      <c r="T186" s="93">
        <f t="shared" si="51"/>
        <v>19</v>
      </c>
      <c r="U186" s="93">
        <f t="shared" si="51"/>
        <v>20</v>
      </c>
    </row>
    <row r="187" spans="1:21" ht="12.75">
      <c r="A187" s="93">
        <v>1</v>
      </c>
      <c r="B187" s="91">
        <f>Model!B115</f>
        <v>0.9999999999999961</v>
      </c>
      <c r="C187" s="91">
        <f>Model!C115</f>
        <v>-1.3060562921407615E-15</v>
      </c>
      <c r="D187" s="91">
        <f>Model!D115</f>
        <v>-4.809766560675087E-16</v>
      </c>
      <c r="E187" s="91">
        <f>Model!E115</f>
        <v>-1.2971019395012068E-15</v>
      </c>
      <c r="F187" s="91">
        <f>Model!F115</f>
        <v>-1.2529697729205445E-15</v>
      </c>
      <c r="G187" s="91">
        <f>Model!G115</f>
        <v>-5.430175279272803E-16</v>
      </c>
      <c r="H187" s="91">
        <f>Model!H115</f>
        <v>-1.2568073526232107E-15</v>
      </c>
      <c r="I187" s="91">
        <f>Model!I115</f>
        <v>-4.605095643199551E-16</v>
      </c>
      <c r="J187" s="91">
        <f>Model!J115</f>
        <v>-1.1647054397592197E-15</v>
      </c>
      <c r="K187" s="91">
        <f>Model!K115</f>
        <v>-9.792224207970157E-16</v>
      </c>
      <c r="L187" s="91">
        <f>Model!L115</f>
        <v>-7.502468318712602E-16</v>
      </c>
      <c r="M187" s="91">
        <f>Model!M115</f>
        <v>-1.1256900461154457E-15</v>
      </c>
      <c r="N187" s="91">
        <f>Model!N115</f>
        <v>-8.775265586763589E-16</v>
      </c>
      <c r="O187" s="91">
        <f>Model!O115</f>
        <v>-2.731077555064178E-16</v>
      </c>
      <c r="P187" s="91">
        <f>Model!P115</f>
        <v>-3.0956476268174756E-16</v>
      </c>
      <c r="Q187" s="91">
        <f>Model!Q115</f>
        <v>-3.947910119117948E-16</v>
      </c>
      <c r="R187" s="91">
        <f>Model!R115</f>
        <v>-5.120370667859639E-16</v>
      </c>
      <c r="S187" s="91">
        <f>Model!S115</f>
        <v>5.5406142070310955E-17</v>
      </c>
      <c r="T187" s="91">
        <f>Model!T115</f>
        <v>0</v>
      </c>
      <c r="U187" s="91">
        <f>Model!U115</f>
        <v>0</v>
      </c>
    </row>
    <row r="188" spans="1:21" ht="12.75">
      <c r="A188" s="93">
        <f aca="true" t="shared" si="52" ref="A188:A206">A187+1</f>
        <v>2</v>
      </c>
      <c r="B188" s="91">
        <f>Model!B116</f>
        <v>-0.8414795185173405</v>
      </c>
      <c r="C188" s="91">
        <f>Model!C116</f>
        <v>1.0000000000000033</v>
      </c>
      <c r="D188" s="91">
        <f>Model!D116</f>
        <v>-3.5921050043022273E-16</v>
      </c>
      <c r="E188" s="91">
        <f>Model!E116</f>
        <v>3.2132380121547926E-15</v>
      </c>
      <c r="F188" s="91">
        <f>Model!F116</f>
        <v>3.541857175183582E-15</v>
      </c>
      <c r="G188" s="91">
        <f>Model!G116</f>
        <v>-3.697027061841976E-16</v>
      </c>
      <c r="H188" s="91">
        <f>Model!H116</f>
        <v>3.0321327043982925E-15</v>
      </c>
      <c r="I188" s="91">
        <f>Model!I116</f>
        <v>6.202860889177996E-16</v>
      </c>
      <c r="J188" s="91">
        <f>Model!J116</f>
        <v>1.825201161261375E-15</v>
      </c>
      <c r="K188" s="91">
        <f>Model!K116</f>
        <v>2.3521558011832704E-15</v>
      </c>
      <c r="L188" s="91">
        <f>Model!L116</f>
        <v>1.3227064760034334E-15</v>
      </c>
      <c r="M188" s="91">
        <f>Model!M116</f>
        <v>2.497669579733709E-15</v>
      </c>
      <c r="N188" s="91">
        <f>Model!N116</f>
        <v>2.1856330200176463E-15</v>
      </c>
      <c r="O188" s="91">
        <f>Model!O116</f>
        <v>7.500287706942947E-18</v>
      </c>
      <c r="P188" s="91">
        <f>Model!P116</f>
        <v>-4.4125463120485874E-16</v>
      </c>
      <c r="Q188" s="91">
        <f>Model!Q116</f>
        <v>6.539636102773352E-16</v>
      </c>
      <c r="R188" s="91">
        <f>Model!R116</f>
        <v>1.2569252641474585E-15</v>
      </c>
      <c r="S188" s="91">
        <f>Model!S116</f>
        <v>-1.5048277533502225E-16</v>
      </c>
      <c r="T188" s="91">
        <f>Model!T116</f>
        <v>0</v>
      </c>
      <c r="U188" s="91">
        <f>Model!U116</f>
        <v>0</v>
      </c>
    </row>
    <row r="189" spans="1:21" ht="12.75">
      <c r="A189" s="93">
        <f t="shared" si="52"/>
        <v>3</v>
      </c>
      <c r="B189" s="91">
        <f>Model!B117</f>
        <v>0.22166931088454242</v>
      </c>
      <c r="C189" s="91">
        <f>Model!C117</f>
        <v>-0.8456462733800831</v>
      </c>
      <c r="D189" s="91">
        <f>Model!D117</f>
        <v>0.9999999999999992</v>
      </c>
      <c r="E189" s="91">
        <f>Model!E117</f>
        <v>-2.9179144549232617E-15</v>
      </c>
      <c r="F189" s="91">
        <f>Model!F117</f>
        <v>-5.1107254314852564E-15</v>
      </c>
      <c r="G189" s="91">
        <f>Model!G117</f>
        <v>-1.816568965225565E-15</v>
      </c>
      <c r="H189" s="91">
        <f>Model!H117</f>
        <v>-4.481214366788837E-15</v>
      </c>
      <c r="I189" s="91">
        <f>Model!I117</f>
        <v>-1.3826487811788403E-15</v>
      </c>
      <c r="J189" s="91">
        <f>Model!J117</f>
        <v>-1.182087471923112E-15</v>
      </c>
      <c r="K189" s="91">
        <f>Model!K117</f>
        <v>-1.2746744644995562E-15</v>
      </c>
      <c r="L189" s="91">
        <f>Model!L117</f>
        <v>-1.6685770054387415E-15</v>
      </c>
      <c r="M189" s="91">
        <f>Model!M117</f>
        <v>-1.412903222599134E-15</v>
      </c>
      <c r="N189" s="91">
        <f>Model!N117</f>
        <v>-1.1649098512607528E-15</v>
      </c>
      <c r="O189" s="91">
        <f>Model!O117</f>
        <v>5.3513083099374703E-17</v>
      </c>
      <c r="P189" s="91">
        <f>Model!P117</f>
        <v>3.067220182223746E-16</v>
      </c>
      <c r="Q189" s="91">
        <f>Model!Q117</f>
        <v>-3.918760655914896E-16</v>
      </c>
      <c r="R189" s="91">
        <f>Model!R117</f>
        <v>-8.783249272794408E-16</v>
      </c>
      <c r="S189" s="91">
        <f>Model!S117</f>
        <v>1.0011036019058014E-16</v>
      </c>
      <c r="T189" s="91">
        <f>Model!T117</f>
        <v>0</v>
      </c>
      <c r="U189" s="91">
        <f>Model!U117</f>
        <v>0</v>
      </c>
    </row>
    <row r="190" spans="1:21" ht="12.75">
      <c r="A190" s="93">
        <f t="shared" si="52"/>
        <v>4</v>
      </c>
      <c r="B190" s="91">
        <f>Model!B118</f>
        <v>-0.05091494246980792</v>
      </c>
      <c r="C190" s="91">
        <f>Model!C118</f>
        <v>0.43636347195113373</v>
      </c>
      <c r="D190" s="91">
        <f>Model!D118</f>
        <v>-1.4346737802889062</v>
      </c>
      <c r="E190" s="91">
        <f>Model!E118</f>
        <v>0.9999999999999984</v>
      </c>
      <c r="F190" s="91">
        <f>Model!F118</f>
        <v>5.627974104337115E-15</v>
      </c>
      <c r="G190" s="91">
        <f>Model!G118</f>
        <v>3.4944645467640196E-15</v>
      </c>
      <c r="H190" s="91">
        <f>Model!H118</f>
        <v>7.668325764426203E-15</v>
      </c>
      <c r="I190" s="91">
        <f>Model!I118</f>
        <v>1.80073119163058E-15</v>
      </c>
      <c r="J190" s="91">
        <f>Model!J118</f>
        <v>-1.0461476356755472E-15</v>
      </c>
      <c r="K190" s="91">
        <f>Model!K118</f>
        <v>-2.2581438738584624E-15</v>
      </c>
      <c r="L190" s="91">
        <f>Model!L118</f>
        <v>2.1597433912892165E-15</v>
      </c>
      <c r="M190" s="91">
        <f>Model!M118</f>
        <v>-9.734903164699825E-16</v>
      </c>
      <c r="N190" s="91">
        <f>Model!N118</f>
        <v>-8.079583733859414E-16</v>
      </c>
      <c r="O190" s="91">
        <f>Model!O118</f>
        <v>1.599608955085795E-16</v>
      </c>
      <c r="P190" s="91">
        <f>Model!P118</f>
        <v>3.387411067237221E-16</v>
      </c>
      <c r="Q190" s="91">
        <f>Model!Q118</f>
        <v>2.429689142296126E-16</v>
      </c>
      <c r="R190" s="91">
        <f>Model!R118</f>
        <v>6.073889840638574E-16</v>
      </c>
      <c r="S190" s="91">
        <f>Model!S118</f>
        <v>-4.8141554332660943E-17</v>
      </c>
      <c r="T190" s="91">
        <f>Model!T118</f>
        <v>0</v>
      </c>
      <c r="U190" s="91">
        <f>Model!U118</f>
        <v>0</v>
      </c>
    </row>
    <row r="191" spans="1:21" ht="12.75">
      <c r="A191" s="93">
        <f t="shared" si="52"/>
        <v>5</v>
      </c>
      <c r="B191" s="91">
        <f>Model!B119</f>
        <v>0.016892849618400076</v>
      </c>
      <c r="C191" s="91">
        <f>Model!C119</f>
        <v>-0.2695861824433606</v>
      </c>
      <c r="D191" s="91">
        <f>Model!D119</f>
        <v>1.7336171447471618</v>
      </c>
      <c r="E191" s="91">
        <f>Model!E119</f>
        <v>-2.4694656902278043</v>
      </c>
      <c r="F191" s="91">
        <f>Model!F119</f>
        <v>0.9999999999999958</v>
      </c>
      <c r="G191" s="91">
        <f>Model!G119</f>
        <v>-2.4354057887511912E-15</v>
      </c>
      <c r="H191" s="91">
        <f>Model!H119</f>
        <v>-1.4010566210970527E-14</v>
      </c>
      <c r="I191" s="91">
        <f>Model!I119</f>
        <v>-2.967390791350785E-15</v>
      </c>
      <c r="J191" s="91">
        <f>Model!J119</f>
        <v>3.5044522393301194E-15</v>
      </c>
      <c r="K191" s="91">
        <f>Model!K119</f>
        <v>6.513285791080004E-15</v>
      </c>
      <c r="L191" s="91">
        <f>Model!L119</f>
        <v>-3.0445338407974188E-15</v>
      </c>
      <c r="M191" s="91">
        <f>Model!M119</f>
        <v>3.513797010947959E-15</v>
      </c>
      <c r="N191" s="91">
        <f>Model!N119</f>
        <v>2.975094911362202E-15</v>
      </c>
      <c r="O191" s="91">
        <f>Model!O119</f>
        <v>-4.059551318525748E-16</v>
      </c>
      <c r="P191" s="91">
        <f>Model!P119</f>
        <v>-9.634078079818524E-16</v>
      </c>
      <c r="Q191" s="91">
        <f>Model!Q119</f>
        <v>-2.341670643838679E-16</v>
      </c>
      <c r="R191" s="91">
        <f>Model!R119</f>
        <v>-6.532375150164319E-16</v>
      </c>
      <c r="S191" s="91">
        <f>Model!S119</f>
        <v>2.89350919101865E-17</v>
      </c>
      <c r="T191" s="91">
        <f>Model!T119</f>
        <v>0</v>
      </c>
      <c r="U191" s="91">
        <f>Model!U119</f>
        <v>0</v>
      </c>
    </row>
    <row r="192" spans="1:21" ht="12.75">
      <c r="A192" s="93">
        <f t="shared" si="52"/>
        <v>6</v>
      </c>
      <c r="B192" s="91">
        <f>Model!B120</f>
        <v>-0.11451173125533405</v>
      </c>
      <c r="C192" s="91">
        <f>Model!C120</f>
        <v>2.1339518499564316</v>
      </c>
      <c r="D192" s="91">
        <f>Model!D120</f>
        <v>-16.059987277655253</v>
      </c>
      <c r="E192" s="91">
        <f>Model!E120</f>
        <v>26.01202534189552</v>
      </c>
      <c r="F192" s="91">
        <f>Model!F120</f>
        <v>-13.27125802214892</v>
      </c>
      <c r="G192" s="91">
        <f>Model!G120</f>
        <v>1.0000000000000149</v>
      </c>
      <c r="H192" s="91">
        <f>Model!H120</f>
        <v>1.4426033323831752E-13</v>
      </c>
      <c r="I192" s="91">
        <f>Model!I120</f>
        <v>3.07336686538409E-14</v>
      </c>
      <c r="J192" s="91">
        <f>Model!J120</f>
        <v>-3.721712157362883E-14</v>
      </c>
      <c r="K192" s="91">
        <f>Model!K120</f>
        <v>-6.931366980634879E-14</v>
      </c>
      <c r="L192" s="91">
        <f>Model!L120</f>
        <v>2.9507060535094283E-14</v>
      </c>
      <c r="M192" s="91">
        <f>Model!M120</f>
        <v>-3.787571197175075E-14</v>
      </c>
      <c r="N192" s="91">
        <f>Model!N120</f>
        <v>-3.233642559716617E-14</v>
      </c>
      <c r="O192" s="91">
        <f>Model!O120</f>
        <v>4.241655418565551E-15</v>
      </c>
      <c r="P192" s="91">
        <f>Model!P120</f>
        <v>1.0109989525879135E-14</v>
      </c>
      <c r="Q192" s="91">
        <f>Model!Q120</f>
        <v>2.1313037840024E-15</v>
      </c>
      <c r="R192" s="91">
        <f>Model!R120</f>
        <v>6.109685958654389E-15</v>
      </c>
      <c r="S192" s="91">
        <f>Model!S120</f>
        <v>-2.2797612754222547E-16</v>
      </c>
      <c r="T192" s="91">
        <f>Model!T120</f>
        <v>0</v>
      </c>
      <c r="U192" s="91">
        <f>Model!U120</f>
        <v>0</v>
      </c>
    </row>
    <row r="193" spans="1:21" ht="12.75">
      <c r="A193" s="93">
        <f t="shared" si="52"/>
        <v>7</v>
      </c>
      <c r="B193" s="91">
        <f>Model!B121</f>
        <v>3.7804103388355763</v>
      </c>
      <c r="C193" s="91">
        <f>Model!C121</f>
        <v>-53.07233881886472</v>
      </c>
      <c r="D193" s="91">
        <f>Model!D121</f>
        <v>298.83771269227236</v>
      </c>
      <c r="E193" s="91">
        <f>Model!E121</f>
        <v>-378.18392462594977</v>
      </c>
      <c r="F193" s="91">
        <f>Model!F121</f>
        <v>120.33856593246583</v>
      </c>
      <c r="G193" s="91">
        <f>Model!G121</f>
        <v>7.495387879152855</v>
      </c>
      <c r="H193" s="91">
        <f>Model!H121</f>
        <v>0.9999999999977901</v>
      </c>
      <c r="I193" s="91">
        <f>Model!I121</f>
        <v>-4.696114329313473E-13</v>
      </c>
      <c r="J193" s="91">
        <f>Model!J121</f>
        <v>5.278048245023049E-13</v>
      </c>
      <c r="K193" s="91">
        <f>Model!K121</f>
        <v>9.852695415739999E-13</v>
      </c>
      <c r="L193" s="91">
        <f>Model!L121</f>
        <v>-5.058206543532765E-13</v>
      </c>
      <c r="M193" s="91">
        <f>Model!M121</f>
        <v>5.232324865931582E-13</v>
      </c>
      <c r="N193" s="91">
        <f>Model!N121</f>
        <v>4.402376257574353E-13</v>
      </c>
      <c r="O193" s="91">
        <f>Model!O121</f>
        <v>-6.248861809167121E-14</v>
      </c>
      <c r="P193" s="91">
        <f>Model!P121</f>
        <v>-1.4730779556791228E-13</v>
      </c>
      <c r="Q193" s="91">
        <f>Model!Q121</f>
        <v>-4.134732841579353E-14</v>
      </c>
      <c r="R193" s="91">
        <f>Model!R121</f>
        <v>-1.1271505724517634E-13</v>
      </c>
      <c r="S193" s="91">
        <f>Model!S121</f>
        <v>5.721532040008036E-15</v>
      </c>
      <c r="T193" s="91">
        <f>Model!T121</f>
        <v>0</v>
      </c>
      <c r="U193" s="91">
        <f>Model!U121</f>
        <v>0</v>
      </c>
    </row>
    <row r="194" spans="1:21" ht="12.75">
      <c r="A194" s="93">
        <f t="shared" si="52"/>
        <v>8</v>
      </c>
      <c r="B194" s="91">
        <f>Model!B122</f>
        <v>51.05726074544933</v>
      </c>
      <c r="C194" s="91">
        <f>Model!C122</f>
        <v>-465.77176179538856</v>
      </c>
      <c r="D194" s="91">
        <f>Model!D122</f>
        <v>1643.4757740207956</v>
      </c>
      <c r="E194" s="91">
        <f>Model!E122</f>
        <v>-1255.446667253781</v>
      </c>
      <c r="F194" s="91">
        <f>Model!F122</f>
        <v>47.81672933834387</v>
      </c>
      <c r="G194" s="91">
        <f>Model!G122</f>
        <v>12.649927289929776</v>
      </c>
      <c r="H194" s="91">
        <f>Model!H122</f>
        <v>4.144433270388251</v>
      </c>
      <c r="I194" s="91">
        <f>Model!I122</f>
        <v>0.9999999999979021</v>
      </c>
      <c r="J194" s="91">
        <f>Model!J122</f>
        <v>1.4190656421990253E-12</v>
      </c>
      <c r="K194" s="91">
        <f>Model!K122</f>
        <v>2.936728862455999E-12</v>
      </c>
      <c r="L194" s="91">
        <f>Model!L122</f>
        <v>-2.501420555330156E-12</v>
      </c>
      <c r="M194" s="91">
        <f>Model!M122</f>
        <v>1.3404340736978112E-12</v>
      </c>
      <c r="N194" s="91">
        <f>Model!N122</f>
        <v>1.11267366838395E-12</v>
      </c>
      <c r="O194" s="91">
        <f>Model!O122</f>
        <v>-2.0360399868966387E-13</v>
      </c>
      <c r="P194" s="91">
        <f>Model!P122</f>
        <v>-4.4393559520591356E-13</v>
      </c>
      <c r="Q194" s="91">
        <f>Model!Q122</f>
        <v>-2.682470358039064E-13</v>
      </c>
      <c r="R194" s="91">
        <f>Model!R122</f>
        <v>-6.775502317169655E-13</v>
      </c>
      <c r="S194" s="91">
        <f>Model!S122</f>
        <v>5.120377408204933E-14</v>
      </c>
      <c r="T194" s="91">
        <f>Model!T122</f>
        <v>0</v>
      </c>
      <c r="U194" s="91">
        <f>Model!U122</f>
        <v>0</v>
      </c>
    </row>
    <row r="195" spans="1:21" ht="12.75">
      <c r="A195" s="93">
        <f t="shared" si="52"/>
        <v>9</v>
      </c>
      <c r="B195" s="91">
        <f>Model!B123</f>
        <v>-41.32754096343227</v>
      </c>
      <c r="C195" s="91">
        <f>Model!C123</f>
        <v>237.25726499098752</v>
      </c>
      <c r="D195" s="91">
        <f>Model!D123</f>
        <v>-484.3301584864086</v>
      </c>
      <c r="E195" s="91">
        <f>Model!E123</f>
        <v>150.7888567391394</v>
      </c>
      <c r="F195" s="91">
        <f>Model!F123</f>
        <v>33.64853663742429</v>
      </c>
      <c r="G195" s="91">
        <f>Model!G123</f>
        <v>15.299669668719737</v>
      </c>
      <c r="H195" s="91">
        <f>Model!H123</f>
        <v>7.775255689345538</v>
      </c>
      <c r="I195" s="91">
        <f>Model!I123</f>
        <v>3.546579468694032</v>
      </c>
      <c r="J195" s="91">
        <f>Model!J123</f>
        <v>1.0000000000000753</v>
      </c>
      <c r="K195" s="91">
        <f>Model!K123</f>
        <v>-1.0774324687400212E-13</v>
      </c>
      <c r="L195" s="91">
        <f>Model!L123</f>
        <v>7.143845716645792E-13</v>
      </c>
      <c r="M195" s="91">
        <f>Model!M123</f>
        <v>1.1711222486304578E-13</v>
      </c>
      <c r="N195" s="91">
        <f>Model!N123</f>
        <v>9.368977989043663E-14</v>
      </c>
      <c r="O195" s="91">
        <f>Model!O123</f>
        <v>1.522458923219595E-14</v>
      </c>
      <c r="P195" s="91">
        <f>Model!P123</f>
        <v>0</v>
      </c>
      <c r="Q195" s="91">
        <f>Model!Q123</f>
        <v>1.13891638679312E-13</v>
      </c>
      <c r="R195" s="91">
        <f>Model!R123</f>
        <v>2.6833338521745363E-13</v>
      </c>
      <c r="S195" s="91">
        <f>Model!S123</f>
        <v>-2.6931254110916506E-14</v>
      </c>
      <c r="T195" s="91">
        <f>Model!T123</f>
        <v>0</v>
      </c>
      <c r="U195" s="91">
        <f>Model!U123</f>
        <v>0</v>
      </c>
    </row>
    <row r="196" spans="1:21" ht="12.75">
      <c r="A196" s="93">
        <f t="shared" si="52"/>
        <v>10</v>
      </c>
      <c r="B196" s="91">
        <f>Model!B124</f>
        <v>434.80067794816523</v>
      </c>
      <c r="C196" s="91">
        <f>Model!C124</f>
        <v>-1570.7126329003627</v>
      </c>
      <c r="D196" s="91">
        <f>Model!D124</f>
        <v>1714.9982939526847</v>
      </c>
      <c r="E196" s="91">
        <f>Model!E124</f>
        <v>60.73349498994466</v>
      </c>
      <c r="F196" s="91">
        <f>Model!F124</f>
        <v>26.047549965121178</v>
      </c>
      <c r="G196" s="91">
        <f>Model!G124</f>
        <v>15.767713422352372</v>
      </c>
      <c r="H196" s="91">
        <f>Model!H124</f>
        <v>10.24789385532583</v>
      </c>
      <c r="I196" s="91">
        <f>Model!I124</f>
        <v>6.342524381301802</v>
      </c>
      <c r="J196" s="91">
        <f>Model!J124</f>
        <v>3.1322899514734788</v>
      </c>
      <c r="K196" s="91">
        <f>Model!K124</f>
        <v>0.9999999999974171</v>
      </c>
      <c r="L196" s="91">
        <f>Model!L124</f>
        <v>-2.9562710855945225E-12</v>
      </c>
      <c r="M196" s="91">
        <f>Model!M124</f>
        <v>-2.76250799946005E-12</v>
      </c>
      <c r="N196" s="91">
        <f>Model!N124</f>
        <v>-2.2836363722991395E-12</v>
      </c>
      <c r="O196" s="91">
        <f>Model!O124</f>
        <v>1.1210578554923049E-13</v>
      </c>
      <c r="P196" s="91">
        <f>Model!P124</f>
        <v>6.131217654112235E-13</v>
      </c>
      <c r="Q196" s="91">
        <f>Model!Q124</f>
        <v>-7.300716281138159E-13</v>
      </c>
      <c r="R196" s="91">
        <f>Model!R124</f>
        <v>-1.6260528987302737E-12</v>
      </c>
      <c r="S196" s="91">
        <f>Model!S124</f>
        <v>1.872242792172656E-13</v>
      </c>
      <c r="T196" s="91">
        <f>Model!T124</f>
        <v>0</v>
      </c>
      <c r="U196" s="91">
        <f>Model!U124</f>
        <v>0</v>
      </c>
    </row>
    <row r="197" spans="1:21" ht="12.75">
      <c r="A197" s="93">
        <f t="shared" si="52"/>
        <v>11</v>
      </c>
      <c r="B197" s="91">
        <f>Model!B125</f>
        <v>128.84923972941905</v>
      </c>
      <c r="C197" s="91">
        <f>Model!C125</f>
        <v>-292.18682582752916</v>
      </c>
      <c r="D197" s="91">
        <f>Model!D125</f>
        <v>142.47479148944976</v>
      </c>
      <c r="E197" s="91">
        <f>Model!E125</f>
        <v>40.659200731390506</v>
      </c>
      <c r="F197" s="91">
        <f>Model!F125</f>
        <v>23.58732451431661</v>
      </c>
      <c r="G197" s="91">
        <f>Model!G125</f>
        <v>16.89911626548681</v>
      </c>
      <c r="H197" s="91">
        <f>Model!H125</f>
        <v>12.736752266893356</v>
      </c>
      <c r="I197" s="91">
        <f>Model!I125</f>
        <v>9.362772992690156</v>
      </c>
      <c r="J197" s="91">
        <f>Model!J125</f>
        <v>6.034148481320918</v>
      </c>
      <c r="K197" s="91">
        <f>Model!K125</f>
        <v>3.2002338615174066</v>
      </c>
      <c r="L197" s="91">
        <f>Model!L125</f>
        <v>0.9999999999995881</v>
      </c>
      <c r="M197" s="91">
        <f>Model!M125</f>
        <v>-6.394414928045027E-13</v>
      </c>
      <c r="N197" s="91">
        <f>Model!N125</f>
        <v>-5.410658785268869E-13</v>
      </c>
      <c r="O197" s="91">
        <f>Model!O125</f>
        <v>2.459390356940395E-14</v>
      </c>
      <c r="P197" s="91">
        <f>Model!P125</f>
        <v>1.475634214164237E-13</v>
      </c>
      <c r="Q197" s="91">
        <f>Model!Q125</f>
        <v>-1.475634214164237E-13</v>
      </c>
      <c r="R197" s="91">
        <f>Model!R125</f>
        <v>-3.120351515368126E-13</v>
      </c>
      <c r="S197" s="91">
        <f>Model!S125</f>
        <v>3.747044051592358E-14</v>
      </c>
      <c r="T197" s="91">
        <f>Model!T125</f>
        <v>0</v>
      </c>
      <c r="U197" s="91">
        <f>Model!U125</f>
        <v>0</v>
      </c>
    </row>
    <row r="198" spans="1:21" ht="12.75">
      <c r="A198" s="93">
        <f t="shared" si="52"/>
        <v>12</v>
      </c>
      <c r="B198" s="91">
        <f>Model!B126</f>
        <v>665.4481064100045</v>
      </c>
      <c r="C198" s="91">
        <f>Model!C126</f>
        <v>-894.0768161881286</v>
      </c>
      <c r="D198" s="91">
        <f>Model!D126</f>
        <v>62.8567263696009</v>
      </c>
      <c r="E198" s="91">
        <f>Model!E126</f>
        <v>29.754928528907342</v>
      </c>
      <c r="F198" s="91">
        <f>Model!F126</f>
        <v>20.688796998930478</v>
      </c>
      <c r="G198" s="91">
        <f>Model!G126</f>
        <v>16.573140062670767</v>
      </c>
      <c r="H198" s="91">
        <f>Model!H126</f>
        <v>13.792993123452202</v>
      </c>
      <c r="I198" s="91">
        <f>Model!I126</f>
        <v>11.331824340145667</v>
      </c>
      <c r="J198" s="91">
        <f>Model!J126</f>
        <v>8.572972001638576</v>
      </c>
      <c r="K198" s="91">
        <f>Model!K126</f>
        <v>5.829144288472798</v>
      </c>
      <c r="L198" s="91">
        <f>Model!L126</f>
        <v>3.0775485062321386</v>
      </c>
      <c r="M198" s="91">
        <f>Model!M126</f>
        <v>0.9999999999978253</v>
      </c>
      <c r="N198" s="91">
        <f>Model!N126</f>
        <v>-1.8908457984812033E-12</v>
      </c>
      <c r="O198" s="91">
        <f>Model!O126</f>
        <v>1.5498736053124617E-14</v>
      </c>
      <c r="P198" s="91">
        <f>Model!P126</f>
        <v>4.1846587343436467E-13</v>
      </c>
      <c r="Q198" s="91">
        <f>Model!Q126</f>
        <v>-5.502051298859239E-13</v>
      </c>
      <c r="R198" s="91">
        <f>Model!R126</f>
        <v>-1.081036839705442E-12</v>
      </c>
      <c r="S198" s="91">
        <f>Model!S126</f>
        <v>1.2968219207967038E-13</v>
      </c>
      <c r="T198" s="91">
        <f>Model!T126</f>
        <v>0</v>
      </c>
      <c r="U198" s="91">
        <f>Model!U126</f>
        <v>0</v>
      </c>
    </row>
    <row r="199" spans="1:21" ht="12.75">
      <c r="A199" s="93">
        <f t="shared" si="52"/>
        <v>13</v>
      </c>
      <c r="B199" s="91">
        <f>Model!B127</f>
        <v>-256.6484703745581</v>
      </c>
      <c r="C199" s="91">
        <f>Model!C127</f>
        <v>181.8593639388971</v>
      </c>
      <c r="D199" s="91">
        <f>Model!D127</f>
        <v>39.62689523824133</v>
      </c>
      <c r="E199" s="91">
        <f>Model!E127</f>
        <v>24.216960480427286</v>
      </c>
      <c r="F199" s="91">
        <f>Model!F127</f>
        <v>18.895039542071068</v>
      </c>
      <c r="G199" s="91">
        <f>Model!G127</f>
        <v>16.310734709529505</v>
      </c>
      <c r="H199" s="91">
        <f>Model!H127</f>
        <v>14.510416477769441</v>
      </c>
      <c r="I199" s="91">
        <f>Model!I127</f>
        <v>12.82746696601453</v>
      </c>
      <c r="J199" s="91">
        <f>Model!J127</f>
        <v>10.746178967712927</v>
      </c>
      <c r="K199" s="91">
        <f>Model!K127</f>
        <v>8.434982707840746</v>
      </c>
      <c r="L199" s="91">
        <f>Model!L127</f>
        <v>5.708603912043024</v>
      </c>
      <c r="M199" s="91">
        <f>Model!M127</f>
        <v>3.0759470531347155</v>
      </c>
      <c r="N199" s="91">
        <f>Model!N127</f>
        <v>1.0000000000004756</v>
      </c>
      <c r="O199" s="91">
        <f>Model!O127</f>
        <v>2.7859448208640358E-14</v>
      </c>
      <c r="P199" s="91">
        <f>Model!P127</f>
        <v>-4.685452653271333E-14</v>
      </c>
      <c r="Q199" s="91">
        <f>Model!Q127</f>
        <v>1.6145816575462025E-13</v>
      </c>
      <c r="R199" s="91">
        <f>Model!R127</f>
        <v>2.795442360026072E-13</v>
      </c>
      <c r="S199" s="91">
        <f>Model!S127</f>
        <v>-3.3193480479931666E-14</v>
      </c>
      <c r="T199" s="91">
        <f>Model!T127</f>
        <v>0</v>
      </c>
      <c r="U199" s="91">
        <f>Model!U127</f>
        <v>0</v>
      </c>
    </row>
    <row r="200" spans="1:21" ht="12.75">
      <c r="A200" s="93">
        <f t="shared" si="52"/>
        <v>14</v>
      </c>
      <c r="B200" s="91">
        <f>Model!B128</f>
        <v>-263.3810630667643</v>
      </c>
      <c r="C200" s="91">
        <f>Model!C128</f>
        <v>68.63929301881114</v>
      </c>
      <c r="D200" s="91">
        <f>Model!D128</f>
        <v>28.986920529846902</v>
      </c>
      <c r="E200" s="91">
        <f>Model!E128</f>
        <v>20.660843644106983</v>
      </c>
      <c r="F200" s="91">
        <f>Model!F128</f>
        <v>17.415486161278302</v>
      </c>
      <c r="G200" s="91">
        <f>Model!G128</f>
        <v>15.825645844719967</v>
      </c>
      <c r="H200" s="91">
        <f>Model!H128</f>
        <v>14.738753174130835</v>
      </c>
      <c r="I200" s="91">
        <f>Model!I128</f>
        <v>13.694100935105167</v>
      </c>
      <c r="J200" s="91">
        <f>Model!J128</f>
        <v>12.28101899815585</v>
      </c>
      <c r="K200" s="91">
        <f>Model!K128</f>
        <v>10.559686291606</v>
      </c>
      <c r="L200" s="91">
        <f>Model!L128</f>
        <v>8.259733242482177</v>
      </c>
      <c r="M200" s="91">
        <f>Model!M128</f>
        <v>5.6650519502335515</v>
      </c>
      <c r="N200" s="91">
        <f>Model!N128</f>
        <v>3.0552420620651026</v>
      </c>
      <c r="O200" s="91">
        <f>Model!O128</f>
        <v>1.0000000000000535</v>
      </c>
      <c r="P200" s="91">
        <f>Model!P128</f>
        <v>3.679296633197773E-14</v>
      </c>
      <c r="Q200" s="91">
        <f>Model!Q128</f>
        <v>1.2877538216192206E-13</v>
      </c>
      <c r="R200" s="91">
        <f>Model!R128</f>
        <v>1.8856395245138588E-13</v>
      </c>
      <c r="S200" s="91">
        <f>Model!S128</f>
        <v>-2.1845823759611777E-14</v>
      </c>
      <c r="T200" s="91">
        <f>Model!T128</f>
        <v>0</v>
      </c>
      <c r="U200" s="91">
        <f>Model!U128</f>
        <v>0</v>
      </c>
    </row>
    <row r="201" spans="1:21" ht="12.75">
      <c r="A201" s="93">
        <f t="shared" si="52"/>
        <v>15</v>
      </c>
      <c r="B201" s="91">
        <f>Model!B129</f>
        <v>694.3655242726685</v>
      </c>
      <c r="C201" s="91">
        <f>Model!C129</f>
        <v>41.03089931906772</v>
      </c>
      <c r="D201" s="91">
        <f>Model!D129</f>
        <v>23.343803702063116</v>
      </c>
      <c r="E201" s="91">
        <f>Model!E129</f>
        <v>18.383268750230567</v>
      </c>
      <c r="F201" s="91">
        <f>Model!F129</f>
        <v>16.337786202919837</v>
      </c>
      <c r="G201" s="91">
        <f>Model!G129</f>
        <v>15.381374376631383</v>
      </c>
      <c r="H201" s="91">
        <f>Model!H129</f>
        <v>14.782455030616703</v>
      </c>
      <c r="I201" s="91">
        <f>Model!I129</f>
        <v>14.208934661096379</v>
      </c>
      <c r="J201" s="91">
        <f>Model!J129</f>
        <v>13.346283066359984</v>
      </c>
      <c r="K201" s="91">
        <f>Model!K129</f>
        <v>12.188431327917323</v>
      </c>
      <c r="L201" s="91">
        <f>Model!L129</f>
        <v>10.449949858886384</v>
      </c>
      <c r="M201" s="91">
        <f>Model!M129</f>
        <v>8.244130164786785</v>
      </c>
      <c r="N201" s="91">
        <f>Model!N129</f>
        <v>5.6523194401374415</v>
      </c>
      <c r="O201" s="91">
        <f>Model!O129</f>
        <v>3.0564259773649995</v>
      </c>
      <c r="P201" s="91">
        <f>Model!P129</f>
        <v>0.9999999999997616</v>
      </c>
      <c r="Q201" s="91">
        <f>Model!Q129</f>
        <v>-2.572948143357036E-13</v>
      </c>
      <c r="R201" s="91">
        <f>Model!R129</f>
        <v>-3.2540226518927226E-13</v>
      </c>
      <c r="S201" s="91">
        <f>Model!S129</f>
        <v>3.4053725426784304E-14</v>
      </c>
      <c r="T201" s="91">
        <f>Model!T129</f>
        <v>0</v>
      </c>
      <c r="U201" s="91">
        <f>Model!U129</f>
        <v>0</v>
      </c>
    </row>
    <row r="202" spans="1:21" ht="12.75">
      <c r="A202" s="93">
        <f t="shared" si="52"/>
        <v>16</v>
      </c>
      <c r="B202" s="91">
        <f>Model!B130</f>
        <v>100.89424373253482</v>
      </c>
      <c r="C202" s="91">
        <f>Model!C130</f>
        <v>29.410434716303804</v>
      </c>
      <c r="D202" s="91">
        <f>Model!D130</f>
        <v>19.88106953297898</v>
      </c>
      <c r="E202" s="91">
        <f>Model!E130</f>
        <v>16.755481589900537</v>
      </c>
      <c r="F202" s="91">
        <f>Model!F130</f>
        <v>15.451575363006471</v>
      </c>
      <c r="G202" s="91">
        <f>Model!G130</f>
        <v>14.908050363979951</v>
      </c>
      <c r="H202" s="91">
        <f>Model!H130</f>
        <v>14.63934876309377</v>
      </c>
      <c r="I202" s="91">
        <f>Model!I130</f>
        <v>14.401440824517595</v>
      </c>
      <c r="J202" s="91">
        <f>Model!J130</f>
        <v>13.963871037760473</v>
      </c>
      <c r="K202" s="91">
        <f>Model!K130</f>
        <v>13.28516758532576</v>
      </c>
      <c r="L202" s="91">
        <f>Model!L130</f>
        <v>12.108814018836963</v>
      </c>
      <c r="M202" s="91">
        <f>Model!M130</f>
        <v>10.444106811159369</v>
      </c>
      <c r="N202" s="91">
        <f>Model!N130</f>
        <v>8.236847874389706</v>
      </c>
      <c r="O202" s="91">
        <f>Model!O130</f>
        <v>5.657484705949761</v>
      </c>
      <c r="P202" s="91">
        <f>Model!P130</f>
        <v>3.060459210479453</v>
      </c>
      <c r="Q202" s="91">
        <f>Model!Q130</f>
        <v>0.9999999999999736</v>
      </c>
      <c r="R202" s="91">
        <f>Model!R130</f>
        <v>-3.216328148257067E-14</v>
      </c>
      <c r="S202" s="91">
        <f>Model!S130</f>
        <v>2.297377248755048E-15</v>
      </c>
      <c r="T202" s="91">
        <f>Model!T130</f>
        <v>0</v>
      </c>
      <c r="U202" s="91">
        <f>Model!U130</f>
        <v>0</v>
      </c>
    </row>
    <row r="203" spans="1:21" ht="12.75">
      <c r="A203" s="93">
        <f t="shared" si="52"/>
        <v>17</v>
      </c>
      <c r="B203" s="91">
        <f>Model!B131</f>
        <v>50.22584681314545</v>
      </c>
      <c r="C203" s="91">
        <f>Model!C131</f>
        <v>23.22757635193231</v>
      </c>
      <c r="D203" s="91">
        <f>Model!D131</f>
        <v>17.53641963697016</v>
      </c>
      <c r="E203" s="91">
        <f>Model!E131</f>
        <v>15.497277004324502</v>
      </c>
      <c r="F203" s="91">
        <f>Model!F131</f>
        <v>14.66723777047598</v>
      </c>
      <c r="G203" s="91">
        <f>Model!G131</f>
        <v>14.391352941859624</v>
      </c>
      <c r="H203" s="91">
        <f>Model!H131</f>
        <v>14.337992118320892</v>
      </c>
      <c r="I203" s="91">
        <f>Model!I131</f>
        <v>14.326352035076365</v>
      </c>
      <c r="J203" s="91">
        <f>Model!J131</f>
        <v>14.195211874245024</v>
      </c>
      <c r="K203" s="91">
        <f>Model!K131</f>
        <v>13.887967227463749</v>
      </c>
      <c r="L203" s="91">
        <f>Model!L131</f>
        <v>13.197023997762779</v>
      </c>
      <c r="M203" s="91">
        <f>Model!M131</f>
        <v>12.08035850670889</v>
      </c>
      <c r="N203" s="91">
        <f>Model!N131</f>
        <v>10.417175800602205</v>
      </c>
      <c r="O203" s="91">
        <f>Model!O131</f>
        <v>8.225996739614002</v>
      </c>
      <c r="P203" s="91">
        <f>Model!P131</f>
        <v>5.652340098622215</v>
      </c>
      <c r="Q203" s="91">
        <f>Model!Q131</f>
        <v>3.0547356365714067</v>
      </c>
      <c r="R203" s="91">
        <f>Model!R131</f>
        <v>0.9999999999999875</v>
      </c>
      <c r="S203" s="91">
        <f>Model!S131</f>
        <v>0</v>
      </c>
      <c r="T203" s="91">
        <f>Model!T131</f>
        <v>0</v>
      </c>
      <c r="U203" s="91">
        <f>Model!U131</f>
        <v>0</v>
      </c>
    </row>
    <row r="204" spans="1:21" ht="12.75">
      <c r="A204" s="93">
        <f t="shared" si="52"/>
        <v>18</v>
      </c>
      <c r="B204" s="91">
        <f>Model!B132</f>
        <v>33.18190396887599</v>
      </c>
      <c r="C204" s="91">
        <f>Model!C132</f>
        <v>19.56068724007346</v>
      </c>
      <c r="D204" s="91">
        <f>Model!D132</f>
        <v>15.917834704337732</v>
      </c>
      <c r="E204" s="91">
        <f>Model!E132</f>
        <v>14.54941273383684</v>
      </c>
      <c r="F204" s="91">
        <f>Model!F132</f>
        <v>14.023915589496282</v>
      </c>
      <c r="G204" s="91">
        <f>Model!G132</f>
        <v>13.916950348767717</v>
      </c>
      <c r="H204" s="91">
        <f>Model!H132</f>
        <v>13.996395590121171</v>
      </c>
      <c r="I204" s="91">
        <f>Model!I132</f>
        <v>14.127127612187977</v>
      </c>
      <c r="J204" s="91">
        <f>Model!J132</f>
        <v>14.201270400245685</v>
      </c>
      <c r="K204" s="91">
        <f>Model!K132</f>
        <v>14.158824113141305</v>
      </c>
      <c r="L204" s="91">
        <f>Model!L132</f>
        <v>13.843821923702356</v>
      </c>
      <c r="M204" s="91">
        <f>Model!M132</f>
        <v>13.196407656309926</v>
      </c>
      <c r="N204" s="91">
        <f>Model!N132</f>
        <v>12.078246778708444</v>
      </c>
      <c r="O204" s="91">
        <f>Model!O132</f>
        <v>10.42479152747608</v>
      </c>
      <c r="P204" s="91">
        <f>Model!P132</f>
        <v>8.234598952084152</v>
      </c>
      <c r="Q204" s="91">
        <f>Model!Q132</f>
        <v>5.654302879920968</v>
      </c>
      <c r="R204" s="91">
        <f>Model!R132</f>
        <v>3.0597475611090146</v>
      </c>
      <c r="S204" s="91">
        <f>Model!S132</f>
        <v>0.9999999999999994</v>
      </c>
      <c r="T204" s="91">
        <f>Model!T132</f>
        <v>0</v>
      </c>
      <c r="U204" s="91">
        <f>Model!U132</f>
        <v>0</v>
      </c>
    </row>
    <row r="205" spans="1:21" ht="12.75">
      <c r="A205" s="93">
        <f t="shared" si="52"/>
        <v>19</v>
      </c>
      <c r="B205" s="91">
        <f>Model!B133</f>
        <v>25.49443384715933</v>
      </c>
      <c r="C205" s="91">
        <f>Model!C133</f>
        <v>17.416293679882138</v>
      </c>
      <c r="D205" s="91">
        <f>Model!D133</f>
        <v>14.927249110485945</v>
      </c>
      <c r="E205" s="91">
        <f>Model!E133</f>
        <v>13.973478265435437</v>
      </c>
      <c r="F205" s="91">
        <f>Model!F133</f>
        <v>13.639423162741078</v>
      </c>
      <c r="G205" s="91">
        <f>Model!G133</f>
        <v>13.6345636056439</v>
      </c>
      <c r="H205" s="91">
        <f>Model!H133</f>
        <v>13.790661418187318</v>
      </c>
      <c r="I205" s="91">
        <f>Model!I133</f>
        <v>14.004498383487025</v>
      </c>
      <c r="J205" s="91">
        <f>Model!J133</f>
        <v>14.20635834857321</v>
      </c>
      <c r="K205" s="91">
        <f>Model!K133</f>
        <v>14.338355340285228</v>
      </c>
      <c r="L205" s="91">
        <f>Model!L133</f>
        <v>14.288710141851112</v>
      </c>
      <c r="M205" s="91">
        <f>Model!M133</f>
        <v>13.997083731642348</v>
      </c>
      <c r="N205" s="91">
        <f>Model!N133</f>
        <v>13.333531024896295</v>
      </c>
      <c r="O205" s="91">
        <f>Model!O133</f>
        <v>12.200523160098129</v>
      </c>
      <c r="P205" s="91">
        <f>Model!P133</f>
        <v>10.518327338089053</v>
      </c>
      <c r="Q205" s="91">
        <f>Model!Q133</f>
        <v>8.287091410395037</v>
      </c>
      <c r="R205" s="91">
        <f>Model!R133</f>
        <v>5.676420779681471</v>
      </c>
      <c r="S205" s="91">
        <f>Model!S133</f>
        <v>3.0494002976838726</v>
      </c>
      <c r="T205" s="91">
        <f>Model!T133</f>
        <v>1</v>
      </c>
      <c r="U205" s="91">
        <f>Model!U133</f>
        <v>0</v>
      </c>
    </row>
    <row r="206" spans="1:21" ht="12.75">
      <c r="A206" s="93">
        <f t="shared" si="52"/>
        <v>20</v>
      </c>
      <c r="B206" s="91">
        <f>Model!B134</f>
        <v>1.0000000000001203</v>
      </c>
      <c r="C206" s="91">
        <f>Model!C134</f>
        <v>1.000000000000681</v>
      </c>
      <c r="D206" s="91">
        <f>Model!D134</f>
        <v>0.9999999999974342</v>
      </c>
      <c r="E206" s="91">
        <f>Model!E134</f>
        <v>1.0000000000022555</v>
      </c>
      <c r="F206" s="91">
        <f>Model!F134</f>
        <v>0.9999999999998228</v>
      </c>
      <c r="G206" s="91">
        <f>Model!G134</f>
        <v>0.9999999999999682</v>
      </c>
      <c r="H206" s="91">
        <f>Model!H134</f>
        <v>0.9999999999999916</v>
      </c>
      <c r="I206" s="91">
        <f>Model!I134</f>
        <v>0.9999999999999996</v>
      </c>
      <c r="J206" s="91">
        <f>Model!J134</f>
        <v>1.0000000000000029</v>
      </c>
      <c r="K206" s="91">
        <f>Model!K134</f>
        <v>1.0000000000000042</v>
      </c>
      <c r="L206" s="91">
        <f>Model!L134</f>
        <v>1.0000000000000047</v>
      </c>
      <c r="M206" s="91">
        <f>Model!M134</f>
        <v>1.0000000000000053</v>
      </c>
      <c r="N206" s="91">
        <f>Model!N134</f>
        <v>1.0000000000000058</v>
      </c>
      <c r="O206" s="91">
        <f>Model!O134</f>
        <v>1.0000000000000049</v>
      </c>
      <c r="P206" s="91">
        <f>Model!P134</f>
        <v>1.000000000000003</v>
      </c>
      <c r="Q206" s="91">
        <f>Model!Q134</f>
        <v>1.000000000000001</v>
      </c>
      <c r="R206" s="91">
        <f>Model!R134</f>
        <v>0.9999999999999999</v>
      </c>
      <c r="S206" s="91">
        <f>Model!S134</f>
        <v>0.9999999999999998</v>
      </c>
      <c r="T206" s="91">
        <f>Model!T134</f>
        <v>1</v>
      </c>
      <c r="U206" s="91">
        <f>Model!U134</f>
        <v>1</v>
      </c>
    </row>
    <row r="209" ht="12.75">
      <c r="B209" s="91" t="s">
        <v>20</v>
      </c>
    </row>
    <row r="210" spans="2:21" ht="12.75">
      <c r="B210" s="93">
        <v>1</v>
      </c>
      <c r="C210" s="93">
        <f aca="true" t="shared" si="53" ref="C210:U210">B210+1</f>
        <v>2</v>
      </c>
      <c r="D210" s="93">
        <f t="shared" si="53"/>
        <v>3</v>
      </c>
      <c r="E210" s="93">
        <f t="shared" si="53"/>
        <v>4</v>
      </c>
      <c r="F210" s="93">
        <f t="shared" si="53"/>
        <v>5</v>
      </c>
      <c r="G210" s="93">
        <f t="shared" si="53"/>
        <v>6</v>
      </c>
      <c r="H210" s="93">
        <f t="shared" si="53"/>
        <v>7</v>
      </c>
      <c r="I210" s="93">
        <f t="shared" si="53"/>
        <v>8</v>
      </c>
      <c r="J210" s="93">
        <f t="shared" si="53"/>
        <v>9</v>
      </c>
      <c r="K210" s="93">
        <f t="shared" si="53"/>
        <v>10</v>
      </c>
      <c r="L210" s="93">
        <f t="shared" si="53"/>
        <v>11</v>
      </c>
      <c r="M210" s="93">
        <f t="shared" si="53"/>
        <v>12</v>
      </c>
      <c r="N210" s="93">
        <f t="shared" si="53"/>
        <v>13</v>
      </c>
      <c r="O210" s="93">
        <f t="shared" si="53"/>
        <v>14</v>
      </c>
      <c r="P210" s="93">
        <f t="shared" si="53"/>
        <v>15</v>
      </c>
      <c r="Q210" s="93">
        <f t="shared" si="53"/>
        <v>16</v>
      </c>
      <c r="R210" s="93">
        <f t="shared" si="53"/>
        <v>17</v>
      </c>
      <c r="S210" s="93">
        <f t="shared" si="53"/>
        <v>18</v>
      </c>
      <c r="T210" s="93">
        <f t="shared" si="53"/>
        <v>19</v>
      </c>
      <c r="U210" s="93">
        <f t="shared" si="53"/>
        <v>20</v>
      </c>
    </row>
    <row r="211" spans="1:21" ht="12.75">
      <c r="A211" s="93">
        <v>1</v>
      </c>
      <c r="B211" s="91">
        <f aca="true" t="array" ref="B211:U230">MMULT(B163:U182,B139:U158)</f>
        <v>0.00022259809598872596</v>
      </c>
      <c r="C211" s="91">
        <v>0</v>
      </c>
      <c r="D211" s="91">
        <v>0</v>
      </c>
      <c r="E211" s="91">
        <v>0</v>
      </c>
      <c r="F211" s="91">
        <v>0</v>
      </c>
      <c r="G211" s="91">
        <v>0</v>
      </c>
      <c r="H211" s="91">
        <v>0</v>
      </c>
      <c r="I211" s="91">
        <v>0</v>
      </c>
      <c r="J211" s="91">
        <v>0</v>
      </c>
      <c r="K211" s="91">
        <v>0</v>
      </c>
      <c r="L211" s="91">
        <v>0</v>
      </c>
      <c r="M211" s="91">
        <v>0</v>
      </c>
      <c r="N211" s="91">
        <v>0</v>
      </c>
      <c r="O211" s="91">
        <v>0</v>
      </c>
      <c r="P211" s="91">
        <v>0</v>
      </c>
      <c r="Q211" s="91">
        <v>0</v>
      </c>
      <c r="R211" s="91">
        <v>0</v>
      </c>
      <c r="S211" s="91">
        <v>0</v>
      </c>
      <c r="T211" s="91">
        <v>0</v>
      </c>
      <c r="U211" s="91">
        <v>0</v>
      </c>
    </row>
    <row r="212" spans="1:21" ht="12.75">
      <c r="A212" s="93">
        <f aca="true" t="shared" si="54" ref="A212:A230">A211+1</f>
        <v>2</v>
      </c>
      <c r="B212" s="91">
        <v>0.00018731173863547235</v>
      </c>
      <c r="C212" s="91">
        <v>3.0013433016458423E-07</v>
      </c>
      <c r="D212" s="91">
        <v>0</v>
      </c>
      <c r="E212" s="91">
        <v>0</v>
      </c>
      <c r="F212" s="91">
        <v>0</v>
      </c>
      <c r="G212" s="91">
        <v>0</v>
      </c>
      <c r="H212" s="91">
        <v>0</v>
      </c>
      <c r="I212" s="91">
        <v>0</v>
      </c>
      <c r="J212" s="91">
        <v>0</v>
      </c>
      <c r="K212" s="91">
        <v>0</v>
      </c>
      <c r="L212" s="91">
        <v>0</v>
      </c>
      <c r="M212" s="91">
        <v>0</v>
      </c>
      <c r="N212" s="91">
        <v>0</v>
      </c>
      <c r="O212" s="91">
        <v>0</v>
      </c>
      <c r="P212" s="91">
        <v>0</v>
      </c>
      <c r="Q212" s="91">
        <v>0</v>
      </c>
      <c r="R212" s="91">
        <v>0</v>
      </c>
      <c r="S212" s="91">
        <v>0</v>
      </c>
      <c r="T212" s="91">
        <v>0</v>
      </c>
      <c r="U212" s="91">
        <v>0</v>
      </c>
    </row>
    <row r="213" spans="1:21" ht="12.75">
      <c r="A213" s="93">
        <f t="shared" si="54"/>
        <v>3</v>
      </c>
      <c r="B213" s="91">
        <v>0.00010905630719539799</v>
      </c>
      <c r="C213" s="91">
        <v>2.538074778171081E-07</v>
      </c>
      <c r="D213" s="91">
        <v>1.3511929035905624E-11</v>
      </c>
      <c r="E213" s="91">
        <v>0</v>
      </c>
      <c r="F213" s="91">
        <v>0</v>
      </c>
      <c r="G213" s="91">
        <v>0</v>
      </c>
      <c r="H213" s="91">
        <v>0</v>
      </c>
      <c r="I213" s="91">
        <v>0</v>
      </c>
      <c r="J213" s="91">
        <v>0</v>
      </c>
      <c r="K213" s="91">
        <v>0</v>
      </c>
      <c r="L213" s="91">
        <v>0</v>
      </c>
      <c r="M213" s="91">
        <v>0</v>
      </c>
      <c r="N213" s="91">
        <v>0</v>
      </c>
      <c r="O213" s="91">
        <v>0</v>
      </c>
      <c r="P213" s="91">
        <v>0</v>
      </c>
      <c r="Q213" s="91">
        <v>0</v>
      </c>
      <c r="R213" s="91">
        <v>0</v>
      </c>
      <c r="S213" s="91">
        <v>0</v>
      </c>
      <c r="T213" s="91">
        <v>0</v>
      </c>
      <c r="U213" s="91">
        <v>0</v>
      </c>
    </row>
    <row r="214" spans="1:21" ht="12.75">
      <c r="A214" s="93">
        <f t="shared" si="54"/>
        <v>4</v>
      </c>
      <c r="B214" s="91">
        <v>8.605779315135672E-05</v>
      </c>
      <c r="C214" s="91">
        <v>2.331632753031149E-07</v>
      </c>
      <c r="D214" s="91">
        <v>1.9385210308938085E-11</v>
      </c>
      <c r="E214" s="91">
        <v>2.770965543751589E-16</v>
      </c>
      <c r="F214" s="91">
        <v>0</v>
      </c>
      <c r="G214" s="91">
        <v>0</v>
      </c>
      <c r="H214" s="91">
        <v>0</v>
      </c>
      <c r="I214" s="91">
        <v>0</v>
      </c>
      <c r="J214" s="91">
        <v>0</v>
      </c>
      <c r="K214" s="91">
        <v>0</v>
      </c>
      <c r="L214" s="91">
        <v>0</v>
      </c>
      <c r="M214" s="91">
        <v>0</v>
      </c>
      <c r="N214" s="91">
        <v>0</v>
      </c>
      <c r="O214" s="91">
        <v>0</v>
      </c>
      <c r="P214" s="91">
        <v>0</v>
      </c>
      <c r="Q214" s="91">
        <v>0</v>
      </c>
      <c r="R214" s="91">
        <v>0</v>
      </c>
      <c r="S214" s="91">
        <v>0</v>
      </c>
      <c r="T214" s="91">
        <v>0</v>
      </c>
      <c r="U214" s="91">
        <v>0</v>
      </c>
    </row>
    <row r="215" spans="1:21" ht="12.75">
      <c r="A215" s="93">
        <f t="shared" si="54"/>
        <v>5</v>
      </c>
      <c r="B215" s="91">
        <v>7.019122405190289E-05</v>
      </c>
      <c r="C215" s="91">
        <v>2.1669578186267926E-07</v>
      </c>
      <c r="D215" s="91">
        <v>2.444659992052049E-11</v>
      </c>
      <c r="E215" s="91">
        <v>6.842804339098008E-16</v>
      </c>
      <c r="F215" s="91">
        <v>3.733389309044896E-20</v>
      </c>
      <c r="G215" s="91">
        <v>0</v>
      </c>
      <c r="H215" s="91">
        <v>0</v>
      </c>
      <c r="I215" s="91">
        <v>0</v>
      </c>
      <c r="J215" s="91">
        <v>0</v>
      </c>
      <c r="K215" s="91">
        <v>0</v>
      </c>
      <c r="L215" s="91">
        <v>0</v>
      </c>
      <c r="M215" s="91">
        <v>0</v>
      </c>
      <c r="N215" s="91">
        <v>0</v>
      </c>
      <c r="O215" s="91">
        <v>0</v>
      </c>
      <c r="P215" s="91">
        <v>0</v>
      </c>
      <c r="Q215" s="91">
        <v>0</v>
      </c>
      <c r="R215" s="91">
        <v>0</v>
      </c>
      <c r="S215" s="91">
        <v>0</v>
      </c>
      <c r="T215" s="91">
        <v>0</v>
      </c>
      <c r="U215" s="91">
        <v>0</v>
      </c>
    </row>
    <row r="216" spans="1:21" ht="12.75">
      <c r="A216" s="93">
        <f t="shared" si="54"/>
        <v>6</v>
      </c>
      <c r="B216" s="91">
        <v>7.02071172350746E-05</v>
      </c>
      <c r="C216" s="91">
        <v>2.4644926305325626E-07</v>
      </c>
      <c r="D216" s="91">
        <v>3.7189961908620544E-11</v>
      </c>
      <c r="E216" s="91">
        <v>1.873419603366417E-15</v>
      </c>
      <c r="F216" s="91">
        <v>4.954677281746721E-19</v>
      </c>
      <c r="G216" s="91">
        <v>4.637055321070681E-21</v>
      </c>
      <c r="H216" s="91">
        <v>0</v>
      </c>
      <c r="I216" s="91">
        <v>0</v>
      </c>
      <c r="J216" s="91">
        <v>0</v>
      </c>
      <c r="K216" s="91">
        <v>0</v>
      </c>
      <c r="L216" s="91">
        <v>0</v>
      </c>
      <c r="M216" s="91">
        <v>0</v>
      </c>
      <c r="N216" s="91">
        <v>0</v>
      </c>
      <c r="O216" s="91">
        <v>0</v>
      </c>
      <c r="P216" s="91">
        <v>0</v>
      </c>
      <c r="Q216" s="91">
        <v>0</v>
      </c>
      <c r="R216" s="91">
        <v>0</v>
      </c>
      <c r="S216" s="91">
        <v>0</v>
      </c>
      <c r="T216" s="91">
        <v>0</v>
      </c>
      <c r="U216" s="91">
        <v>0</v>
      </c>
    </row>
    <row r="217" spans="1:21" ht="12.75">
      <c r="A217" s="93">
        <f t="shared" si="54"/>
        <v>7</v>
      </c>
      <c r="B217" s="91">
        <v>8.215565681296119E-05</v>
      </c>
      <c r="C217" s="91">
        <v>3.360948072970742E-07</v>
      </c>
      <c r="D217" s="91">
        <v>7.267898110712098E-11</v>
      </c>
      <c r="E217" s="91">
        <v>8.406129733933418E-15</v>
      </c>
      <c r="F217" s="91">
        <v>-8.206429959452752E-18</v>
      </c>
      <c r="G217" s="91">
        <v>-3.4756528248516843E-20</v>
      </c>
      <c r="H217" s="91">
        <v>2.225678741389146E-19</v>
      </c>
      <c r="I217" s="91">
        <v>0</v>
      </c>
      <c r="J217" s="91">
        <v>0</v>
      </c>
      <c r="K217" s="91">
        <v>0</v>
      </c>
      <c r="L217" s="91">
        <v>0</v>
      </c>
      <c r="M217" s="91">
        <v>0</v>
      </c>
      <c r="N217" s="91">
        <v>0</v>
      </c>
      <c r="O217" s="91">
        <v>0</v>
      </c>
      <c r="P217" s="91">
        <v>0</v>
      </c>
      <c r="Q217" s="91">
        <v>0</v>
      </c>
      <c r="R217" s="91">
        <v>0</v>
      </c>
      <c r="S217" s="91">
        <v>0</v>
      </c>
      <c r="T217" s="91">
        <v>0</v>
      </c>
      <c r="U217" s="91">
        <v>0</v>
      </c>
    </row>
    <row r="218" spans="1:21" ht="12.75">
      <c r="A218" s="93">
        <f t="shared" si="54"/>
        <v>8</v>
      </c>
      <c r="B218" s="91">
        <v>0.00010392187600767835</v>
      </c>
      <c r="C218" s="91">
        <v>5.195402738332667E-07</v>
      </c>
      <c r="D218" s="91">
        <v>1.899496925101983E-10</v>
      </c>
      <c r="E218" s="91">
        <v>2.566226278872945E-13</v>
      </c>
      <c r="F218" s="91">
        <v>2.5958185958170566E-17</v>
      </c>
      <c r="G218" s="91">
        <v>8.53876993857148E-20</v>
      </c>
      <c r="H218" s="91">
        <v>-9.224177025029318E-19</v>
      </c>
      <c r="I218" s="91">
        <v>1.120514380132854E-16</v>
      </c>
      <c r="J218" s="91">
        <v>0</v>
      </c>
      <c r="K218" s="91">
        <v>0</v>
      </c>
      <c r="L218" s="91">
        <v>0</v>
      </c>
      <c r="M218" s="91">
        <v>0</v>
      </c>
      <c r="N218" s="91">
        <v>0</v>
      </c>
      <c r="O218" s="91">
        <v>0</v>
      </c>
      <c r="P218" s="91">
        <v>0</v>
      </c>
      <c r="Q218" s="91">
        <v>0</v>
      </c>
      <c r="R218" s="91">
        <v>0</v>
      </c>
      <c r="S218" s="91">
        <v>0</v>
      </c>
      <c r="T218" s="91">
        <v>0</v>
      </c>
      <c r="U218" s="91">
        <v>0</v>
      </c>
    </row>
    <row r="219" spans="1:21" ht="12.75">
      <c r="A219" s="93">
        <f t="shared" si="54"/>
        <v>9</v>
      </c>
      <c r="B219" s="91">
        <v>0.00015773732003281532</v>
      </c>
      <c r="C219" s="91">
        <v>1.0412397340070416E-06</v>
      </c>
      <c r="D219" s="91">
        <v>9.90805245114451E-10</v>
      </c>
      <c r="E219" s="91">
        <v>-1.0689631602800364E-12</v>
      </c>
      <c r="F219" s="91">
        <v>-3.709240157439561E-17</v>
      </c>
      <c r="G219" s="91">
        <v>-1.0353878216219441E-19</v>
      </c>
      <c r="H219" s="91">
        <v>1.5409055555926133E-18</v>
      </c>
      <c r="I219" s="91">
        <v>-3.973993294954933E-16</v>
      </c>
      <c r="J219" s="91">
        <v>7.774144373300032E-14</v>
      </c>
      <c r="K219" s="91">
        <v>0</v>
      </c>
      <c r="L219" s="91">
        <v>0</v>
      </c>
      <c r="M219" s="91">
        <v>0</v>
      </c>
      <c r="N219" s="91">
        <v>0</v>
      </c>
      <c r="O219" s="91">
        <v>0</v>
      </c>
      <c r="P219" s="91">
        <v>0</v>
      </c>
      <c r="Q219" s="91">
        <v>0</v>
      </c>
      <c r="R219" s="91">
        <v>0</v>
      </c>
      <c r="S219" s="91">
        <v>0</v>
      </c>
      <c r="T219" s="91">
        <v>0</v>
      </c>
      <c r="U219" s="91">
        <v>0</v>
      </c>
    </row>
    <row r="220" spans="1:21" ht="12.75">
      <c r="A220" s="93">
        <f t="shared" si="54"/>
        <v>10</v>
      </c>
      <c r="B220" s="91">
        <v>0.00023869615945153611</v>
      </c>
      <c r="C220" s="91">
        <v>2.4533108168144926E-06</v>
      </c>
      <c r="D220" s="91">
        <v>-3.062649786524392E-08</v>
      </c>
      <c r="E220" s="91">
        <v>1.5703297516109067E-12</v>
      </c>
      <c r="F220" s="91">
        <v>2.685750295560993E-17</v>
      </c>
      <c r="G220" s="91">
        <v>6.580537458176556E-20</v>
      </c>
      <c r="H220" s="91">
        <v>-1.2569581698673331E-18</v>
      </c>
      <c r="I220" s="91">
        <v>5.34080948942485E-16</v>
      </c>
      <c r="J220" s="91">
        <v>-2.4350874301809694E-13</v>
      </c>
      <c r="K220" s="91">
        <v>2.530806429632393E-11</v>
      </c>
      <c r="L220" s="91">
        <v>0</v>
      </c>
      <c r="M220" s="91">
        <v>0</v>
      </c>
      <c r="N220" s="91">
        <v>0</v>
      </c>
      <c r="O220" s="91">
        <v>0</v>
      </c>
      <c r="P220" s="91">
        <v>0</v>
      </c>
      <c r="Q220" s="91">
        <v>0</v>
      </c>
      <c r="R220" s="91">
        <v>0</v>
      </c>
      <c r="S220" s="91">
        <v>0</v>
      </c>
      <c r="T220" s="91">
        <v>0</v>
      </c>
      <c r="U220" s="91">
        <v>0</v>
      </c>
    </row>
    <row r="221" spans="1:21" ht="12.75">
      <c r="A221" s="93">
        <f t="shared" si="54"/>
        <v>11</v>
      </c>
      <c r="B221" s="91">
        <v>0.0004344626632656716</v>
      </c>
      <c r="C221" s="91">
        <v>9.498591429266158E-06</v>
      </c>
      <c r="D221" s="91">
        <v>8.54107357296131E-08</v>
      </c>
      <c r="E221" s="91">
        <v>-1.143972221074098E-12</v>
      </c>
      <c r="F221" s="91">
        <v>-9.900142200814305E-18</v>
      </c>
      <c r="G221" s="91">
        <v>-2.0966695622705057E-20</v>
      </c>
      <c r="H221" s="91">
        <v>5.261028570796318E-19</v>
      </c>
      <c r="I221" s="91">
        <v>-3.603295546669691E-16</v>
      </c>
      <c r="J221" s="91">
        <v>3.1018151034499267E-13</v>
      </c>
      <c r="K221" s="91">
        <v>-8.099172433057182E-11</v>
      </c>
      <c r="L221" s="91">
        <v>2.81711613445493E-09</v>
      </c>
      <c r="M221" s="91">
        <v>0</v>
      </c>
      <c r="N221" s="91">
        <v>0</v>
      </c>
      <c r="O221" s="91">
        <v>0</v>
      </c>
      <c r="P221" s="91">
        <v>0</v>
      </c>
      <c r="Q221" s="91">
        <v>0</v>
      </c>
      <c r="R221" s="91">
        <v>0</v>
      </c>
      <c r="S221" s="91">
        <v>0</v>
      </c>
      <c r="T221" s="91">
        <v>0</v>
      </c>
      <c r="U221" s="91">
        <v>0</v>
      </c>
    </row>
    <row r="222" spans="1:21" ht="12.75">
      <c r="A222" s="93">
        <f t="shared" si="54"/>
        <v>12</v>
      </c>
      <c r="B222" s="91">
        <v>0.0009207623733673317</v>
      </c>
      <c r="C222" s="91">
        <v>0.0001739015791966106</v>
      </c>
      <c r="D222" s="91">
        <v>-9.852673627895143E-08</v>
      </c>
      <c r="E222" s="91">
        <v>4.537439381978095E-13</v>
      </c>
      <c r="F222" s="91">
        <v>1.9578071972158917E-18</v>
      </c>
      <c r="G222" s="91">
        <v>3.519657524837526E-21</v>
      </c>
      <c r="H222" s="91">
        <v>-1.1945849495927555E-19</v>
      </c>
      <c r="I222" s="91">
        <v>1.3284288221381813E-16</v>
      </c>
      <c r="J222" s="91">
        <v>-2.0162626575588352E-13</v>
      </c>
      <c r="K222" s="91">
        <v>1.017316017855395E-10</v>
      </c>
      <c r="L222" s="91">
        <v>-8.669811551477513E-09</v>
      </c>
      <c r="M222" s="91">
        <v>1.4413998785317976E-07</v>
      </c>
      <c r="N222" s="91">
        <v>0</v>
      </c>
      <c r="O222" s="91">
        <v>0</v>
      </c>
      <c r="P222" s="91">
        <v>0</v>
      </c>
      <c r="Q222" s="91">
        <v>0</v>
      </c>
      <c r="R222" s="91">
        <v>0</v>
      </c>
      <c r="S222" s="91">
        <v>0</v>
      </c>
      <c r="T222" s="91">
        <v>0</v>
      </c>
      <c r="U222" s="91">
        <v>0</v>
      </c>
    </row>
    <row r="223" spans="1:21" ht="12.75">
      <c r="A223" s="93">
        <f t="shared" si="54"/>
        <v>13</v>
      </c>
      <c r="B223" s="91">
        <v>0.002642020298862715</v>
      </c>
      <c r="C223" s="91">
        <v>-0.0007109605808874439</v>
      </c>
      <c r="D223" s="91">
        <v>5.760899597057358E-08</v>
      </c>
      <c r="E223" s="91">
        <v>-8.763442094439886E-14</v>
      </c>
      <c r="F223" s="91">
        <v>-1.3303255354223684E-19</v>
      </c>
      <c r="G223" s="91">
        <v>-1.666051456911918E-22</v>
      </c>
      <c r="H223" s="91">
        <v>1.0438791444960428E-20</v>
      </c>
      <c r="I223" s="91">
        <v>-2.3414338798050987E-17</v>
      </c>
      <c r="J223" s="91">
        <v>6.805690358989959E-14</v>
      </c>
      <c r="K223" s="91">
        <v>-6.404443107466248E-11</v>
      </c>
      <c r="L223" s="91">
        <v>1.0586081107167807E-08</v>
      </c>
      <c r="M223" s="91">
        <v>-4.4336697087578516E-07</v>
      </c>
      <c r="N223" s="91">
        <v>3.415173632831407E-06</v>
      </c>
      <c r="O223" s="91">
        <v>0</v>
      </c>
      <c r="P223" s="91">
        <v>0</v>
      </c>
      <c r="Q223" s="91">
        <v>0</v>
      </c>
      <c r="R223" s="91">
        <v>0</v>
      </c>
      <c r="S223" s="91">
        <v>0</v>
      </c>
      <c r="T223" s="91">
        <v>0</v>
      </c>
      <c r="U223" s="91">
        <v>0</v>
      </c>
    </row>
    <row r="224" spans="1:21" ht="12.75">
      <c r="A224" s="93">
        <f t="shared" si="54"/>
        <v>14</v>
      </c>
      <c r="B224" s="91">
        <v>0.014530013340064206</v>
      </c>
      <c r="C224" s="91">
        <v>0.0010173278899788226</v>
      </c>
      <c r="D224" s="91">
        <v>-1.756100610380861E-08</v>
      </c>
      <c r="E224" s="91">
        <v>6.5318581913698916E-15</v>
      </c>
      <c r="F224" s="91">
        <v>8.257667596551854E-22</v>
      </c>
      <c r="G224" s="91">
        <v>2.6498047992560845E-24</v>
      </c>
      <c r="H224" s="91">
        <v>-1.219985921154292E-22</v>
      </c>
      <c r="I224" s="91">
        <v>1.498382877847435E-18</v>
      </c>
      <c r="J224" s="91">
        <v>-1.1091788517634428E-14</v>
      </c>
      <c r="K224" s="91">
        <v>2.1081248766994182E-11</v>
      </c>
      <c r="L224" s="91">
        <v>-6.4967352168862166E-09</v>
      </c>
      <c r="M224" s="91">
        <v>5.38032899055707E-07</v>
      </c>
      <c r="N224" s="91">
        <v>-1.0434182132281108E-05</v>
      </c>
      <c r="O224" s="91">
        <v>4.3411332947614854E-05</v>
      </c>
      <c r="P224" s="91">
        <v>0</v>
      </c>
      <c r="Q224" s="91">
        <v>0</v>
      </c>
      <c r="R224" s="91">
        <v>0</v>
      </c>
      <c r="S224" s="91">
        <v>0</v>
      </c>
      <c r="T224" s="91">
        <v>0</v>
      </c>
      <c r="U224" s="91">
        <v>0</v>
      </c>
    </row>
    <row r="225" spans="1:21" ht="12.75">
      <c r="A225" s="93">
        <f t="shared" si="54"/>
        <v>15</v>
      </c>
      <c r="B225" s="91">
        <v>-0.24778454738921404</v>
      </c>
      <c r="C225" s="91">
        <v>-0.0007097442219697806</v>
      </c>
      <c r="D225" s="91">
        <v>2.4276230438782717E-09</v>
      </c>
      <c r="E225" s="91">
        <v>2.437240556767482E-16</v>
      </c>
      <c r="F225" s="91">
        <v>1.937280991383487E-21</v>
      </c>
      <c r="G225" s="91">
        <v>5.906272871649898E-24</v>
      </c>
      <c r="H225" s="91">
        <v>-8.77131041993036E-23</v>
      </c>
      <c r="I225" s="91">
        <v>8.080320431433153E-20</v>
      </c>
      <c r="J225" s="91">
        <v>5.040986120321908E-16</v>
      </c>
      <c r="K225" s="91">
        <v>-3.228406042176413E-12</v>
      </c>
      <c r="L225" s="91">
        <v>2.057210830876052E-09</v>
      </c>
      <c r="M225" s="91">
        <v>-3.2671480256718146E-07</v>
      </c>
      <c r="N225" s="91">
        <v>1.2587653005364125E-05</v>
      </c>
      <c r="O225" s="91">
        <v>-0.00013268352573313994</v>
      </c>
      <c r="P225" s="91">
        <v>0.0003287869307400495</v>
      </c>
      <c r="Q225" s="91">
        <v>0</v>
      </c>
      <c r="R225" s="91">
        <v>0</v>
      </c>
      <c r="S225" s="91">
        <v>0</v>
      </c>
      <c r="T225" s="91">
        <v>0</v>
      </c>
      <c r="U225" s="91">
        <v>0</v>
      </c>
    </row>
    <row r="226" spans="1:21" ht="12.75">
      <c r="A226" s="93">
        <f t="shared" si="54"/>
        <v>16</v>
      </c>
      <c r="B226" s="91">
        <v>0.5977097142069956</v>
      </c>
      <c r="C226" s="91">
        <v>0.0002571001696105593</v>
      </c>
      <c r="D226" s="91">
        <v>-7.646119114926391E-11</v>
      </c>
      <c r="E226" s="91">
        <v>1.571252874342934E-16</v>
      </c>
      <c r="F226" s="91">
        <v>1.871716824949912E-21</v>
      </c>
      <c r="G226" s="91">
        <v>5.729757584391943E-24</v>
      </c>
      <c r="H226" s="91">
        <v>-7.976000751269961E-23</v>
      </c>
      <c r="I226" s="91">
        <v>5.0208528707572296E-20</v>
      </c>
      <c r="J226" s="91">
        <v>-6.511461350464405E-18</v>
      </c>
      <c r="K226" s="91">
        <v>1.339349176219555E-13</v>
      </c>
      <c r="L226" s="91">
        <v>-3.0026683813088503E-10</v>
      </c>
      <c r="M226" s="91">
        <v>1.0251729174622668E-07</v>
      </c>
      <c r="N226" s="91">
        <v>-7.623038424370869E-06</v>
      </c>
      <c r="O226" s="91">
        <v>0.00016047356619285576</v>
      </c>
      <c r="P226" s="91">
        <v>-0.0010062389904686685</v>
      </c>
      <c r="Q226" s="91">
        <v>0.0016567617824464478</v>
      </c>
      <c r="R226" s="91">
        <v>0</v>
      </c>
      <c r="S226" s="91">
        <v>0</v>
      </c>
      <c r="T226" s="91">
        <v>0</v>
      </c>
      <c r="U226" s="91">
        <v>0</v>
      </c>
    </row>
    <row r="227" spans="1:21" ht="12.75">
      <c r="A227" s="93">
        <f t="shared" si="54"/>
        <v>17</v>
      </c>
      <c r="B227" s="91">
        <v>-0.6182234859731816</v>
      </c>
      <c r="C227" s="91">
        <v>-4.5013323640816685E-05</v>
      </c>
      <c r="D227" s="91">
        <v>-3.069813008181783E-12</v>
      </c>
      <c r="E227" s="91">
        <v>1.3944961890275002E-16</v>
      </c>
      <c r="F227" s="91">
        <v>1.7245769351589207E-21</v>
      </c>
      <c r="G227" s="91">
        <v>5.2831114633524514E-24</v>
      </c>
      <c r="H227" s="91">
        <v>-7.298614509305096E-23</v>
      </c>
      <c r="I227" s="91">
        <v>4.424583889231873E-20</v>
      </c>
      <c r="J227" s="91">
        <v>-1.9242512039617876E-17</v>
      </c>
      <c r="K227" s="91">
        <v>4.668132798072559E-15</v>
      </c>
      <c r="L227" s="91">
        <v>1.1117816247327842E-11</v>
      </c>
      <c r="M227" s="91">
        <v>-1.4947967160929922E-08</v>
      </c>
      <c r="N227" s="91">
        <v>2.3917553820137197E-06</v>
      </c>
      <c r="O227" s="91">
        <v>-9.733339173839502E-05</v>
      </c>
      <c r="P227" s="91">
        <v>0.0012153785505673743</v>
      </c>
      <c r="Q227" s="91">
        <v>-0.005060969258148743</v>
      </c>
      <c r="R227" s="91">
        <v>0.0060266114074221016</v>
      </c>
      <c r="S227" s="91">
        <v>0</v>
      </c>
      <c r="T227" s="91">
        <v>0</v>
      </c>
      <c r="U227" s="91">
        <v>0</v>
      </c>
    </row>
    <row r="228" spans="1:21" ht="12.75">
      <c r="A228" s="93">
        <f t="shared" si="54"/>
        <v>18</v>
      </c>
      <c r="B228" s="91">
        <v>0.32659634848297325</v>
      </c>
      <c r="C228" s="91">
        <v>2.4807581295127824E-06</v>
      </c>
      <c r="D228" s="91">
        <v>-3.718053964074218E-13</v>
      </c>
      <c r="E228" s="91">
        <v>1.2838635336522828E-16</v>
      </c>
      <c r="F228" s="91">
        <v>1.5940007510385643E-21</v>
      </c>
      <c r="G228" s="91">
        <v>4.883161213104816E-24</v>
      </c>
      <c r="H228" s="91">
        <v>-6.739865265599211E-23</v>
      </c>
      <c r="I228" s="91">
        <v>4.0689292086176624E-20</v>
      </c>
      <c r="J228" s="91">
        <v>-1.8845948282747763E-17</v>
      </c>
      <c r="K228" s="91">
        <v>7.461193522133957E-16</v>
      </c>
      <c r="L228" s="91">
        <v>-5.693530726947793E-16</v>
      </c>
      <c r="M228" s="91">
        <v>5.233998526191227E-10</v>
      </c>
      <c r="N228" s="91">
        <v>-3.446102681173842E-07</v>
      </c>
      <c r="O228" s="91">
        <v>3.049098656277689E-05</v>
      </c>
      <c r="P228" s="91">
        <v>-0.0007366000495579562</v>
      </c>
      <c r="Q228" s="91">
        <v>0.006117455426638405</v>
      </c>
      <c r="R228" s="91">
        <v>-0.018439909555611592</v>
      </c>
      <c r="S228" s="91">
        <v>0.01689715745552321</v>
      </c>
      <c r="T228" s="91">
        <v>0</v>
      </c>
      <c r="U228" s="91">
        <v>0</v>
      </c>
    </row>
    <row r="229" spans="1:21" ht="12.75">
      <c r="A229" s="93">
        <f t="shared" si="54"/>
        <v>19</v>
      </c>
      <c r="B229" s="91">
        <v>-0.08715361786976655</v>
      </c>
      <c r="C229" s="91">
        <v>3.473345505905343E-08</v>
      </c>
      <c r="D229" s="91">
        <v>-1.2305385341648024E-13</v>
      </c>
      <c r="E229" s="91">
        <v>1.1302593835371745E-16</v>
      </c>
      <c r="F229" s="91">
        <v>1.4042371105891834E-21</v>
      </c>
      <c r="G229" s="91">
        <v>4.301893408234943E-24</v>
      </c>
      <c r="H229" s="91">
        <v>-5.936483467408347E-23</v>
      </c>
      <c r="I229" s="91">
        <v>3.5814665009511754E-20</v>
      </c>
      <c r="J229" s="91">
        <v>-1.6719223588068326E-17</v>
      </c>
      <c r="K229" s="91">
        <v>3.776507291054188E-16</v>
      </c>
      <c r="L229" s="91">
        <v>-3.3590791387005715E-13</v>
      </c>
      <c r="M229" s="91">
        <v>2.9041973601979856E-12</v>
      </c>
      <c r="N229" s="91">
        <v>1.2163395631614234E-08</v>
      </c>
      <c r="O229" s="91">
        <v>-4.365265077956697E-06</v>
      </c>
      <c r="P229" s="91">
        <v>0.00022769428348421355</v>
      </c>
      <c r="Q229" s="91">
        <v>-0.003656115673157031</v>
      </c>
      <c r="R229" s="91">
        <v>0.02202108346398943</v>
      </c>
      <c r="S229" s="91">
        <v>-0.05152619697488375</v>
      </c>
      <c r="T229" s="91">
        <v>0.03794511939039475</v>
      </c>
      <c r="U229" s="91">
        <v>0</v>
      </c>
    </row>
    <row r="230" spans="1:21" ht="12.75">
      <c r="A230" s="93">
        <f t="shared" si="54"/>
        <v>20</v>
      </c>
      <c r="B230" s="91">
        <v>0.009000396578070514</v>
      </c>
      <c r="C230" s="91">
        <v>-2.2603106194205342E-07</v>
      </c>
      <c r="D230" s="91">
        <v>-1.0562525594893477E-12</v>
      </c>
      <c r="E230" s="91">
        <v>1.3189888318350916E-15</v>
      </c>
      <c r="F230" s="91">
        <v>1.6350976570620006E-20</v>
      </c>
      <c r="G230" s="91">
        <v>5.0070364378937813E-23</v>
      </c>
      <c r="H230" s="91">
        <v>-6.914895903288825E-22</v>
      </c>
      <c r="I230" s="91">
        <v>4.178093840675197E-19</v>
      </c>
      <c r="J230" s="91">
        <v>-1.9583984304893495E-16</v>
      </c>
      <c r="K230" s="91">
        <v>3.919778051752269E-15</v>
      </c>
      <c r="L230" s="91">
        <v>-4.375804984560152E-12</v>
      </c>
      <c r="M230" s="91">
        <v>-1.8674210119626487E-10</v>
      </c>
      <c r="N230" s="91">
        <v>-4.914591071505647E-09</v>
      </c>
      <c r="O230" s="91">
        <v>6.29684624415516E-09</v>
      </c>
      <c r="P230" s="91">
        <v>-2.9020724765012667E-05</v>
      </c>
      <c r="Q230" s="91">
        <v>0.0009428677222209209</v>
      </c>
      <c r="R230" s="91">
        <v>-0.009607785315799942</v>
      </c>
      <c r="S230" s="91">
        <v>0.03462903951936055</v>
      </c>
      <c r="T230" s="91">
        <v>-0.03794511939039475</v>
      </c>
      <c r="U230" s="91">
        <v>1</v>
      </c>
    </row>
    <row r="233" spans="2:27" ht="12.75">
      <c r="B233" s="91" t="s">
        <v>21</v>
      </c>
      <c r="X233" s="91" t="s">
        <v>17</v>
      </c>
      <c r="AA233" s="91" t="s">
        <v>17</v>
      </c>
    </row>
    <row r="234" spans="2:27" ht="12.75">
      <c r="B234" s="93">
        <v>1</v>
      </c>
      <c r="C234" s="93">
        <f aca="true" t="shared" si="55" ref="C234:U234">B234+1</f>
        <v>2</v>
      </c>
      <c r="D234" s="93">
        <f t="shared" si="55"/>
        <v>3</v>
      </c>
      <c r="E234" s="93">
        <f t="shared" si="55"/>
        <v>4</v>
      </c>
      <c r="F234" s="93">
        <f t="shared" si="55"/>
        <v>5</v>
      </c>
      <c r="G234" s="93">
        <f t="shared" si="55"/>
        <v>6</v>
      </c>
      <c r="H234" s="93">
        <f t="shared" si="55"/>
        <v>7</v>
      </c>
      <c r="I234" s="93">
        <f t="shared" si="55"/>
        <v>8</v>
      </c>
      <c r="J234" s="93">
        <f t="shared" si="55"/>
        <v>9</v>
      </c>
      <c r="K234" s="93">
        <f t="shared" si="55"/>
        <v>10</v>
      </c>
      <c r="L234" s="93">
        <f t="shared" si="55"/>
        <v>11</v>
      </c>
      <c r="M234" s="93">
        <f t="shared" si="55"/>
        <v>12</v>
      </c>
      <c r="N234" s="93">
        <f t="shared" si="55"/>
        <v>13</v>
      </c>
      <c r="O234" s="93">
        <f t="shared" si="55"/>
        <v>14</v>
      </c>
      <c r="P234" s="93">
        <f t="shared" si="55"/>
        <v>15</v>
      </c>
      <c r="Q234" s="93">
        <f t="shared" si="55"/>
        <v>16</v>
      </c>
      <c r="R234" s="93">
        <f t="shared" si="55"/>
        <v>17</v>
      </c>
      <c r="S234" s="93">
        <f t="shared" si="55"/>
        <v>18</v>
      </c>
      <c r="T234" s="93">
        <f t="shared" si="55"/>
        <v>19</v>
      </c>
      <c r="U234" s="93">
        <f t="shared" si="55"/>
        <v>20</v>
      </c>
      <c r="X234" s="91" t="s">
        <v>18</v>
      </c>
      <c r="AA234" s="91" t="s">
        <v>22</v>
      </c>
    </row>
    <row r="235" spans="1:27" ht="12.75">
      <c r="A235" s="93">
        <v>1</v>
      </c>
      <c r="B235" s="91">
        <f aca="true" t="array" ref="B235:U254">MMULT(B211:U230,B187:U206)</f>
        <v>0.0002225980959887251</v>
      </c>
      <c r="C235" s="91">
        <v>-2.9072564388462873E-19</v>
      </c>
      <c r="D235" s="91">
        <v>-1.0706448785565172E-19</v>
      </c>
      <c r="E235" s="91">
        <v>-2.8873242203625223E-19</v>
      </c>
      <c r="F235" s="91">
        <v>-2.7890868578353955E-19</v>
      </c>
      <c r="G235" s="91">
        <v>-1.2087466780511743E-19</v>
      </c>
      <c r="H235" s="91">
        <v>-2.79762923718558E-19</v>
      </c>
      <c r="I235" s="91">
        <v>-1.0250855220221974E-19</v>
      </c>
      <c r="J235" s="91">
        <v>-2.5926121327811405E-19</v>
      </c>
      <c r="K235" s="91">
        <v>-2.179730464188867E-19</v>
      </c>
      <c r="L235" s="91">
        <v>-1.6700351629611631E-19</v>
      </c>
      <c r="M235" s="91">
        <v>-2.5057646093875933E-19</v>
      </c>
      <c r="N235" s="91">
        <v>-1.953357411408965E-19</v>
      </c>
      <c r="O235" s="91">
        <v>-6.079326637548309E-20</v>
      </c>
      <c r="P235" s="91">
        <v>-6.890852675815882E-20</v>
      </c>
      <c r="Q235" s="91">
        <v>-8.787972756502795E-20</v>
      </c>
      <c r="R235" s="91">
        <v>-1.1397847614220768E-19</v>
      </c>
      <c r="S235" s="91">
        <v>1.2333301730932066E-20</v>
      </c>
      <c r="T235" s="91">
        <v>0</v>
      </c>
      <c r="U235" s="91">
        <v>0</v>
      </c>
      <c r="W235" s="93">
        <v>1</v>
      </c>
      <c r="X235" s="92">
        <f>Data_File!G28</f>
        <v>0</v>
      </c>
      <c r="Z235" s="93">
        <v>1</v>
      </c>
      <c r="AA235" s="91">
        <f aca="true" t="array" ref="AA235:AA254">MMULT(B235:U254,X235:X254)</f>
        <v>-1.5778784903428632E-17</v>
      </c>
    </row>
    <row r="236" spans="1:27" ht="12.75">
      <c r="A236" s="93">
        <f aca="true" t="shared" si="56" ref="A236:A254">A235+1</f>
        <v>2</v>
      </c>
      <c r="B236" s="91">
        <v>0.0001870591817438342</v>
      </c>
      <c r="C236" s="91">
        <v>3.001343301643406E-07</v>
      </c>
      <c r="D236" s="91">
        <v>-9.020038509401537E-20</v>
      </c>
      <c r="E236" s="91">
        <v>-2.4199801643697685E-19</v>
      </c>
      <c r="F236" s="91">
        <v>-2.3363291369262783E-19</v>
      </c>
      <c r="G236" s="91">
        <v>-1.0182451773967567E-19</v>
      </c>
      <c r="H236" s="91">
        <v>-2.3450472323149405E-19</v>
      </c>
      <c r="I236" s="91">
        <v>-8.607267800122692E-20</v>
      </c>
      <c r="J236" s="91">
        <v>-2.1761519539154104E-19</v>
      </c>
      <c r="K236" s="91">
        <v>-1.8271389144449425E-19</v>
      </c>
      <c r="L236" s="91">
        <v>-1.4013304886138099E-19</v>
      </c>
      <c r="M236" s="91">
        <v>-2.1010532331624335E-19</v>
      </c>
      <c r="N236" s="91">
        <v>-1.6371504190202303E-19</v>
      </c>
      <c r="O236" s="91">
        <v>-5.115403742491165E-20</v>
      </c>
      <c r="P236" s="91">
        <v>-5.811754958136421E-20</v>
      </c>
      <c r="Q236" s="91">
        <v>-7.375271390873316E-20</v>
      </c>
      <c r="R236" s="91">
        <v>-9.553330680326453E-20</v>
      </c>
      <c r="S236" s="91">
        <v>1.033305575529745E-20</v>
      </c>
      <c r="T236" s="91">
        <v>0</v>
      </c>
      <c r="U236" s="91">
        <v>0</v>
      </c>
      <c r="W236" s="93">
        <f aca="true" t="shared" si="57" ref="W236:W254">W235+1</f>
        <v>2</v>
      </c>
      <c r="X236" s="92">
        <f>Data_File!G29</f>
        <v>2.3521687142846304</v>
      </c>
      <c r="Z236" s="93">
        <f aca="true" t="shared" si="58" ref="Z236:Z254">Z235+1</f>
        <v>2</v>
      </c>
      <c r="AA236" s="91">
        <v>7.059665814826709E-07</v>
      </c>
    </row>
    <row r="237" spans="1:27" ht="12.75">
      <c r="A237" s="93">
        <f t="shared" si="56"/>
        <v>3</v>
      </c>
      <c r="B237" s="91">
        <v>0.00010884273639634794</v>
      </c>
      <c r="C237" s="91">
        <v>2.5379605150453113E-07</v>
      </c>
      <c r="D237" s="91">
        <v>1.3511928983360906E-11</v>
      </c>
      <c r="E237" s="91">
        <v>-1.4064164316915212E-19</v>
      </c>
      <c r="F237" s="91">
        <v>-1.3574537568150856E-19</v>
      </c>
      <c r="G237" s="91">
        <v>-5.931334419487281E-20</v>
      </c>
      <c r="H237" s="91">
        <v>-1.3629325132885218E-19</v>
      </c>
      <c r="I237" s="91">
        <v>-5.006405794739486E-20</v>
      </c>
      <c r="J237" s="91">
        <v>-1.2655524049956602E-19</v>
      </c>
      <c r="K237" s="91">
        <v>-1.0619340362704032E-19</v>
      </c>
      <c r="L237" s="91">
        <v>-8.148345872005357E-20</v>
      </c>
      <c r="M237" s="91">
        <v>-1.2212969135056314E-19</v>
      </c>
      <c r="N237" s="91">
        <v>-9.514509169106421E-20</v>
      </c>
      <c r="O237" s="91">
        <v>-2.9782218929782766E-20</v>
      </c>
      <c r="P237" s="91">
        <v>-3.387197943650622E-20</v>
      </c>
      <c r="Q237" s="91">
        <v>-4.2888474313527653E-20</v>
      </c>
      <c r="R237" s="91">
        <v>-5.552186648760682E-20</v>
      </c>
      <c r="S237" s="91">
        <v>6.004196949153078E-21</v>
      </c>
      <c r="T237" s="91">
        <v>0</v>
      </c>
      <c r="U237" s="91">
        <v>0</v>
      </c>
      <c r="W237" s="93">
        <f t="shared" si="57"/>
        <v>3</v>
      </c>
      <c r="X237" s="92">
        <f>Data_File!G30</f>
        <v>6.648206472553895</v>
      </c>
      <c r="Z237" s="93">
        <f t="shared" si="58"/>
        <v>3</v>
      </c>
      <c r="AA237" s="91">
        <v>5.970609622446379E-07</v>
      </c>
    </row>
    <row r="238" spans="1:27" ht="12.75">
      <c r="A238" s="93">
        <f t="shared" si="56"/>
        <v>4</v>
      </c>
      <c r="B238" s="91">
        <v>8.58615953278105E-05</v>
      </c>
      <c r="C238" s="91">
        <v>2.3314688239306165E-07</v>
      </c>
      <c r="D238" s="91">
        <v>1.9384812724301356E-11</v>
      </c>
      <c r="E238" s="91">
        <v>2.769856777972875E-16</v>
      </c>
      <c r="F238" s="91">
        <v>-1.070020815942048E-19</v>
      </c>
      <c r="G238" s="91">
        <v>-4.681712640339242E-20</v>
      </c>
      <c r="H238" s="91">
        <v>-1.074511720577994E-19</v>
      </c>
      <c r="I238" s="91">
        <v>-3.948583569678949E-20</v>
      </c>
      <c r="J238" s="91">
        <v>-9.980643285151628E-20</v>
      </c>
      <c r="K238" s="91">
        <v>-8.372130889795154E-20</v>
      </c>
      <c r="L238" s="91">
        <v>-6.425621244054572E-20</v>
      </c>
      <c r="M238" s="91">
        <v>-9.629206371100444E-20</v>
      </c>
      <c r="N238" s="91">
        <v>-7.500841230008036E-20</v>
      </c>
      <c r="O238" s="91">
        <v>-2.3501300902348446E-20</v>
      </c>
      <c r="P238" s="91">
        <v>-2.6743338742904362E-20</v>
      </c>
      <c r="Q238" s="91">
        <v>-3.382237054035135E-20</v>
      </c>
      <c r="R238" s="91">
        <v>-4.377172819423918E-20</v>
      </c>
      <c r="S238" s="91">
        <v>4.733045197474733E-21</v>
      </c>
      <c r="T238" s="91">
        <v>0</v>
      </c>
      <c r="U238" s="91">
        <v>0</v>
      </c>
      <c r="W238" s="93">
        <f t="shared" si="57"/>
        <v>4</v>
      </c>
      <c r="X238" s="92">
        <f>Data_File!G31</f>
        <v>5.979403946226071</v>
      </c>
      <c r="Z238" s="93">
        <f t="shared" si="58"/>
        <v>4</v>
      </c>
      <c r="AA238" s="91">
        <v>5.485296784867216E-07</v>
      </c>
    </row>
    <row r="239" spans="1:27" ht="12.75">
      <c r="A239" s="93">
        <f t="shared" si="56"/>
        <v>5</v>
      </c>
      <c r="B239" s="91">
        <v>7.000888440874219E-05</v>
      </c>
      <c r="C239" s="91">
        <v>2.1667510898505365E-07</v>
      </c>
      <c r="D239" s="91">
        <v>2.444561823220807E-11</v>
      </c>
      <c r="E239" s="91">
        <v>6.840978901926668E-16</v>
      </c>
      <c r="F239" s="91">
        <v>-4.984620839706548E-20</v>
      </c>
      <c r="G239" s="91">
        <v>-3.8195222390371123E-20</v>
      </c>
      <c r="H239" s="91">
        <v>-8.755990565617175E-20</v>
      </c>
      <c r="I239" s="91">
        <v>-3.218935042803906E-20</v>
      </c>
      <c r="J239" s="91">
        <v>-8.135661598264851E-20</v>
      </c>
      <c r="K239" s="91">
        <v>-6.822314925741144E-20</v>
      </c>
      <c r="L239" s="91">
        <v>-5.237415934567028E-20</v>
      </c>
      <c r="M239" s="91">
        <v>-7.847236231881694E-20</v>
      </c>
      <c r="N239" s="91">
        <v>-6.112107431404785E-20</v>
      </c>
      <c r="O239" s="91">
        <v>-1.916814106803206E-20</v>
      </c>
      <c r="P239" s="91">
        <v>-2.1824340134735932E-20</v>
      </c>
      <c r="Q239" s="91">
        <v>-2.756916279481061E-20</v>
      </c>
      <c r="R239" s="91">
        <v>-3.566815954643787E-20</v>
      </c>
      <c r="S239" s="91">
        <v>3.856418396575653E-21</v>
      </c>
      <c r="T239" s="91">
        <v>0</v>
      </c>
      <c r="U239" s="91">
        <v>0</v>
      </c>
      <c r="W239" s="93">
        <f t="shared" si="57"/>
        <v>5</v>
      </c>
      <c r="X239" s="92">
        <f>Data_File!G32</f>
        <v>4.826468036888059</v>
      </c>
      <c r="Z239" s="93">
        <f t="shared" si="58"/>
        <v>5</v>
      </c>
      <c r="AA239" s="91">
        <v>5.098189361229229E-07</v>
      </c>
    </row>
    <row r="240" spans="1:27" ht="12.75">
      <c r="A240" s="93">
        <f t="shared" si="56"/>
        <v>6</v>
      </c>
      <c r="B240" s="91">
        <v>6.999974347163917E-05</v>
      </c>
      <c r="C240" s="91">
        <v>2.4641781431783844E-07</v>
      </c>
      <c r="D240" s="91">
        <v>3.7187274913259877E-11</v>
      </c>
      <c r="E240" s="91">
        <v>1.872226408015286E-15</v>
      </c>
      <c r="F240" s="91">
        <v>3.4683347283984824E-19</v>
      </c>
      <c r="G240" s="91">
        <v>-3.357782043389333E-20</v>
      </c>
      <c r="H240" s="91">
        <v>-8.748972091887473E-20</v>
      </c>
      <c r="I240" s="91">
        <v>-3.2178231337871535E-20</v>
      </c>
      <c r="J240" s="91">
        <v>-8.132083583613419E-20</v>
      </c>
      <c r="K240" s="91">
        <v>-6.81687436416439E-20</v>
      </c>
      <c r="L240" s="91">
        <v>-5.234674929445259E-20</v>
      </c>
      <c r="M240" s="91">
        <v>-7.841595675834694E-20</v>
      </c>
      <c r="N240" s="91">
        <v>-6.10700056592598E-20</v>
      </c>
      <c r="O240" s="91">
        <v>-1.9172257777820085E-20</v>
      </c>
      <c r="P240" s="91">
        <v>-2.184238505651042E-20</v>
      </c>
      <c r="Q240" s="91">
        <v>-2.755598458022948E-20</v>
      </c>
      <c r="R240" s="91">
        <v>-3.563891073521672E-20</v>
      </c>
      <c r="S240" s="91">
        <v>3.852822865800301E-21</v>
      </c>
      <c r="T240" s="91">
        <v>0</v>
      </c>
      <c r="U240" s="91">
        <v>0</v>
      </c>
      <c r="W240" s="93">
        <f t="shared" si="57"/>
        <v>6</v>
      </c>
      <c r="X240" s="92">
        <f>Data_File!G33</f>
        <v>4.429999010272184</v>
      </c>
      <c r="Z240" s="93">
        <f t="shared" si="58"/>
        <v>6</v>
      </c>
      <c r="AA240" s="91">
        <v>5.798635133555414E-07</v>
      </c>
    </row>
    <row r="241" spans="1:27" ht="12.75">
      <c r="A241" s="93">
        <f t="shared" si="56"/>
        <v>7</v>
      </c>
      <c r="B241" s="91">
        <v>8.18728560266127E-05</v>
      </c>
      <c r="C241" s="91">
        <v>3.360333502458956E-07</v>
      </c>
      <c r="D241" s="91">
        <v>7.266697385661842E-11</v>
      </c>
      <c r="E241" s="91">
        <v>8.341214066805171E-15</v>
      </c>
      <c r="F241" s="91">
        <v>1.8936583165150676E-17</v>
      </c>
      <c r="G241" s="91">
        <v>1.5887396690365264E-18</v>
      </c>
      <c r="H241" s="91">
        <v>1.2033279902776448E-19</v>
      </c>
      <c r="I241" s="91">
        <v>-3.762509126628132E-20</v>
      </c>
      <c r="J241" s="91">
        <v>-9.507378568609205E-20</v>
      </c>
      <c r="K241" s="91">
        <v>-7.965820645668063E-20</v>
      </c>
      <c r="L241" s="91">
        <v>-6.119258771847387E-20</v>
      </c>
      <c r="M241" s="91">
        <v>-9.164245402679563E-20</v>
      </c>
      <c r="N241" s="91">
        <v>-7.135927556136702E-20</v>
      </c>
      <c r="O241" s="91">
        <v>-2.2434822335981553E-20</v>
      </c>
      <c r="P241" s="91">
        <v>-2.5580777499445128E-20</v>
      </c>
      <c r="Q241" s="91">
        <v>-3.221454959300972E-20</v>
      </c>
      <c r="R241" s="91">
        <v>-4.164435931061741E-20</v>
      </c>
      <c r="S241" s="91">
        <v>4.501358789396221E-21</v>
      </c>
      <c r="T241" s="91">
        <v>0</v>
      </c>
      <c r="U241" s="91">
        <v>0</v>
      </c>
      <c r="W241" s="93">
        <f t="shared" si="57"/>
        <v>7</v>
      </c>
      <c r="X241" s="92">
        <f>Data_File!G34</f>
        <v>4.405554887767536</v>
      </c>
      <c r="Z241" s="93">
        <f t="shared" si="58"/>
        <v>7</v>
      </c>
      <c r="AA241" s="91">
        <v>7.908902884215374E-07</v>
      </c>
    </row>
    <row r="242" spans="1:27" ht="12.75">
      <c r="A242" s="93">
        <f t="shared" si="56"/>
        <v>8</v>
      </c>
      <c r="B242" s="91">
        <v>0.00010348473560687186</v>
      </c>
      <c r="C242" s="91">
        <v>5.19379703416016E-07</v>
      </c>
      <c r="D242" s="91">
        <v>1.897654445052223E-10</v>
      </c>
      <c r="E242" s="91">
        <v>1.1623485214837977E-13</v>
      </c>
      <c r="F242" s="91">
        <v>5.271627471909993E-15</v>
      </c>
      <c r="G242" s="91">
        <v>1.4105574290128503E-15</v>
      </c>
      <c r="H242" s="91">
        <v>4.633382546825588E-16</v>
      </c>
      <c r="I242" s="91">
        <v>1.1200390299663996E-16</v>
      </c>
      <c r="J242" s="91">
        <v>-1.2009033343201125E-19</v>
      </c>
      <c r="K242" s="91">
        <v>-1.0054083370415521E-19</v>
      </c>
      <c r="L242" s="91">
        <v>-7.728017562348253E-20</v>
      </c>
      <c r="M242" s="91">
        <v>-1.1568644993863662E-19</v>
      </c>
      <c r="N242" s="91">
        <v>-9.005890320375362E-20</v>
      </c>
      <c r="O242" s="91">
        <v>-2.837796341986759E-20</v>
      </c>
      <c r="P242" s="91">
        <v>-3.2399742136635526E-20</v>
      </c>
      <c r="Q242" s="91">
        <v>-4.068773656009499E-20</v>
      </c>
      <c r="R242" s="91">
        <v>-5.2558996027456176E-20</v>
      </c>
      <c r="S242" s="91">
        <v>5.679747373300752E-21</v>
      </c>
      <c r="T242" s="91">
        <v>0</v>
      </c>
      <c r="U242" s="91">
        <v>0</v>
      </c>
      <c r="W242" s="93">
        <f t="shared" si="57"/>
        <v>8</v>
      </c>
      <c r="X242" s="92">
        <f>Data_File!G35</f>
        <v>4.488917081834202</v>
      </c>
      <c r="Z242" s="93">
        <f t="shared" si="58"/>
        <v>8</v>
      </c>
      <c r="AA242" s="91">
        <v>1.2229310183130903E-06</v>
      </c>
    </row>
    <row r="243" spans="1:27" ht="12.75">
      <c r="A243" s="93">
        <f t="shared" si="56"/>
        <v>9</v>
      </c>
      <c r="B243" s="91">
        <v>0.0001568613545751758</v>
      </c>
      <c r="C243" s="91">
        <v>1.040420026534888E-06</v>
      </c>
      <c r="D243" s="91">
        <v>9.540336143610525E-10</v>
      </c>
      <c r="E243" s="91">
        <v>1.1151999883443836E-11</v>
      </c>
      <c r="F243" s="91">
        <v>2.59703299961427E-12</v>
      </c>
      <c r="G243" s="91">
        <v>1.184402696166242E-12</v>
      </c>
      <c r="H243" s="91">
        <v>6.028139534930164E-13</v>
      </c>
      <c r="I243" s="91">
        <v>2.7531873688554673E-13</v>
      </c>
      <c r="J243" s="91">
        <v>7.774126191479279E-14</v>
      </c>
      <c r="K243" s="91">
        <v>-1.520120323739583E-19</v>
      </c>
      <c r="L243" s="91">
        <v>-1.169662690960933E-19</v>
      </c>
      <c r="M243" s="91">
        <v>-1.7496404855186012E-19</v>
      </c>
      <c r="N243" s="91">
        <v>-1.3614406617196634E-19</v>
      </c>
      <c r="O243" s="91">
        <v>-4.3071421721719676E-20</v>
      </c>
      <c r="P243" s="91">
        <v>-4.9289064180928364E-20</v>
      </c>
      <c r="Q243" s="91">
        <v>-6.159272286833398E-20</v>
      </c>
      <c r="R243" s="91">
        <v>-7.945944391306263E-20</v>
      </c>
      <c r="S243" s="91">
        <v>8.583024845882152E-21</v>
      </c>
      <c r="T243" s="91">
        <v>0</v>
      </c>
      <c r="U243" s="91">
        <v>0</v>
      </c>
      <c r="W243" s="93">
        <f t="shared" si="57"/>
        <v>9</v>
      </c>
      <c r="X243" s="92">
        <f>Data_File!G36</f>
        <v>5.38413927092936</v>
      </c>
      <c r="Z243" s="93">
        <f t="shared" si="58"/>
        <v>9</v>
      </c>
      <c r="AA243" s="91">
        <v>2.453674822469568E-06</v>
      </c>
    </row>
    <row r="244" spans="1:27" ht="12.75">
      <c r="A244" s="93">
        <f t="shared" si="56"/>
        <v>10</v>
      </c>
      <c r="B244" s="91">
        <v>0.0002366359736663945</v>
      </c>
      <c r="C244" s="91">
        <v>2.4394009666120827E-06</v>
      </c>
      <c r="D244" s="91">
        <v>1.2893352362236798E-08</v>
      </c>
      <c r="E244" s="91">
        <v>1.5012290212323022E-09</v>
      </c>
      <c r="F244" s="91">
        <v>6.510447688556057E-10</v>
      </c>
      <c r="G244" s="91">
        <v>3.9533144836840146E-10</v>
      </c>
      <c r="H244" s="91">
        <v>2.574632257664088E-10</v>
      </c>
      <c r="I244" s="91">
        <v>1.5965392570714388E-10</v>
      </c>
      <c r="J244" s="91">
        <v>7.902868647010532E-11</v>
      </c>
      <c r="K244" s="91">
        <v>2.5308064068331563E-11</v>
      </c>
      <c r="L244" s="91">
        <v>-1.758599140347037E-19</v>
      </c>
      <c r="M244" s="91">
        <v>-2.62597001727546E-19</v>
      </c>
      <c r="N244" s="91">
        <v>-2.041223230394998E-19</v>
      </c>
      <c r="O244" s="91">
        <v>-6.517017712154936E-20</v>
      </c>
      <c r="P244" s="91">
        <v>-7.496833131454189E-20</v>
      </c>
      <c r="Q244" s="91">
        <v>-9.263722473394184E-20</v>
      </c>
      <c r="R244" s="91">
        <v>-1.1915196997644537E-19</v>
      </c>
      <c r="S244" s="91">
        <v>1.2857731065837581E-20</v>
      </c>
      <c r="T244" s="91">
        <v>0</v>
      </c>
      <c r="U244" s="91">
        <v>0</v>
      </c>
      <c r="W244" s="93">
        <f t="shared" si="57"/>
        <v>10</v>
      </c>
      <c r="X244" s="92">
        <f>Data_File!G37</f>
        <v>5.818658679861379</v>
      </c>
      <c r="Z244" s="93">
        <f t="shared" si="58"/>
        <v>10</v>
      </c>
      <c r="AA244" s="91">
        <v>5.839894025355623E-06</v>
      </c>
    </row>
    <row r="245" spans="1:27" ht="12.75">
      <c r="A245" s="93">
        <f t="shared" si="56"/>
        <v>11</v>
      </c>
      <c r="B245" s="91">
        <v>0.0004268164812984269</v>
      </c>
      <c r="C245" s="91">
        <v>8.730527923576873E-06</v>
      </c>
      <c r="D245" s="91">
        <v>3.4772891945059993E-07</v>
      </c>
      <c r="E245" s="91">
        <v>1.0966886005263386E-07</v>
      </c>
      <c r="F245" s="91">
        <v>6.434901644895544E-08</v>
      </c>
      <c r="G245" s="91">
        <v>4.633445991089176E-08</v>
      </c>
      <c r="H245" s="91">
        <v>3.5053325964720893E-08</v>
      </c>
      <c r="I245" s="91">
        <v>2.5863426597548285E-08</v>
      </c>
      <c r="J245" s="91">
        <v>1.674551766117427E-08</v>
      </c>
      <c r="K245" s="91">
        <v>8.934438720576124E-09</v>
      </c>
      <c r="L245" s="91">
        <v>2.817116134140476E-09</v>
      </c>
      <c r="M245" s="91">
        <v>-4.670442333906629E-19</v>
      </c>
      <c r="N245" s="91">
        <v>-3.6193084668915624E-19</v>
      </c>
      <c r="O245" s="91">
        <v>-1.1851910120109293E-19</v>
      </c>
      <c r="P245" s="91">
        <v>-1.382933860740564E-19</v>
      </c>
      <c r="Q245" s="91">
        <v>-1.6570023013750576E-19</v>
      </c>
      <c r="R245" s="91">
        <v>-2.1134424621404544E-19</v>
      </c>
      <c r="S245" s="91">
        <v>2.2741462792992286E-20</v>
      </c>
      <c r="T245" s="91">
        <v>0</v>
      </c>
      <c r="U245" s="91">
        <v>0</v>
      </c>
      <c r="W245" s="93">
        <f t="shared" si="57"/>
        <v>11</v>
      </c>
      <c r="X245" s="92">
        <f>Data_File!G38</f>
        <v>7.065730286363099</v>
      </c>
      <c r="Z245" s="93">
        <f t="shared" si="58"/>
        <v>11</v>
      </c>
      <c r="AA245" s="91">
        <v>2.445162255165815E-05</v>
      </c>
    </row>
    <row r="246" spans="1:27" ht="12.75">
      <c r="A246" s="93">
        <f t="shared" si="56"/>
        <v>12</v>
      </c>
      <c r="B246" s="91">
        <v>0.0008692507405155014</v>
      </c>
      <c r="C246" s="91">
        <v>4.7486042443297695E-05</v>
      </c>
      <c r="D246" s="91">
        <v>7.900978190577567E-06</v>
      </c>
      <c r="E246" s="91">
        <v>3.9425158282939265E-06</v>
      </c>
      <c r="F246" s="91">
        <v>2.7802283704709307E-06</v>
      </c>
      <c r="G246" s="91">
        <v>2.2439410455208176E-06</v>
      </c>
      <c r="H246" s="91">
        <v>1.8787375868524428E-06</v>
      </c>
      <c r="I246" s="91">
        <v>1.5528400655107026E-06</v>
      </c>
      <c r="J246" s="91">
        <v>1.1837116012221473E-06</v>
      </c>
      <c r="K246" s="91">
        <v>8.12569094036181E-07</v>
      </c>
      <c r="L246" s="91">
        <v>4.349279927539371E-07</v>
      </c>
      <c r="M246" s="91">
        <v>1.4413998785226957E-07</v>
      </c>
      <c r="N246" s="91">
        <v>-6.958815166854478E-19</v>
      </c>
      <c r="O246" s="91">
        <v>-2.4813614094370203E-19</v>
      </c>
      <c r="P246" s="91">
        <v>-3.026999902992274E-19</v>
      </c>
      <c r="Q246" s="91">
        <v>-3.278463022058999E-19</v>
      </c>
      <c r="R246" s="91">
        <v>-4.0607746387620593E-19</v>
      </c>
      <c r="S246" s="91">
        <v>4.322341502601777E-20</v>
      </c>
      <c r="T246" s="91">
        <v>0</v>
      </c>
      <c r="U246" s="91">
        <v>0</v>
      </c>
      <c r="W246" s="93">
        <f t="shared" si="57"/>
        <v>12</v>
      </c>
      <c r="X246" s="92">
        <f>Data_File!G39</f>
        <v>8.192989253689674</v>
      </c>
      <c r="Z246" s="93">
        <f t="shared" si="58"/>
        <v>12</v>
      </c>
      <c r="AA246" s="91">
        <v>0.00024175855587016564</v>
      </c>
    </row>
    <row r="247" spans="1:27" ht="12.75">
      <c r="A247" s="93">
        <f t="shared" si="56"/>
        <v>13</v>
      </c>
      <c r="B247" s="91">
        <v>0.0020700911952863475</v>
      </c>
      <c r="C247" s="91">
        <v>0.0003034836346909627</v>
      </c>
      <c r="D247" s="91">
        <v>0.00010892012112856757</v>
      </c>
      <c r="E247" s="91">
        <v>6.993931452812401E-05</v>
      </c>
      <c r="F247" s="91">
        <v>5.560514299769025E-05</v>
      </c>
      <c r="G247" s="91">
        <v>4.853389482674803E-05</v>
      </c>
      <c r="H247" s="91">
        <v>4.3574410676889915E-05</v>
      </c>
      <c r="I247" s="91">
        <v>3.888257943842901E-05</v>
      </c>
      <c r="J247" s="91">
        <v>3.2962771884011786E-05</v>
      </c>
      <c r="K247" s="91">
        <v>2.62562943820131E-05</v>
      </c>
      <c r="L247" s="91">
        <v>1.814197628286036E-05</v>
      </c>
      <c r="M247" s="91">
        <v>1.006152630097157E-05</v>
      </c>
      <c r="N247" s="91">
        <v>3.4151736328299915E-06</v>
      </c>
      <c r="O247" s="91">
        <v>-6.383591602700914E-19</v>
      </c>
      <c r="P247" s="91">
        <v>-8.481715069687813E-19</v>
      </c>
      <c r="Q247" s="91">
        <v>-7.141756924092788E-19</v>
      </c>
      <c r="R247" s="91">
        <v>-8.156981780998651E-19</v>
      </c>
      <c r="S247" s="91">
        <v>8.290361327878944E-20</v>
      </c>
      <c r="T247" s="91">
        <v>0</v>
      </c>
      <c r="U247" s="91">
        <v>0</v>
      </c>
      <c r="W247" s="93">
        <f t="shared" si="57"/>
        <v>13</v>
      </c>
      <c r="X247" s="92">
        <f>Data_File!G40</f>
        <v>8.723024984780583</v>
      </c>
      <c r="Z247" s="93">
        <f t="shared" si="58"/>
        <v>13</v>
      </c>
      <c r="AA247" s="91">
        <v>0.003276718765608447</v>
      </c>
    </row>
    <row r="248" spans="1:27" ht="12.75">
      <c r="A248" s="93">
        <f t="shared" si="56"/>
        <v>14</v>
      </c>
      <c r="B248" s="91">
        <v>0.00527534776833471</v>
      </c>
      <c r="C248" s="91">
        <v>0.0016203346209432926</v>
      </c>
      <c r="D248" s="91">
        <v>0.0008777985803777405</v>
      </c>
      <c r="E248" s="91">
        <v>0.000659976843136263</v>
      </c>
      <c r="F248" s="91">
        <v>0.0005698537457803888</v>
      </c>
      <c r="G248" s="91">
        <v>0.0005256306419496238</v>
      </c>
      <c r="H248" s="91">
        <v>0.0004957631456526243</v>
      </c>
      <c r="I248" s="91">
        <v>0.0004666712490061604</v>
      </c>
      <c r="J248" s="91">
        <v>0.0004255812208258211</v>
      </c>
      <c r="K248" s="91">
        <v>0.00037351341298076803</v>
      </c>
      <c r="L248" s="91">
        <v>0.00030065074251813304</v>
      </c>
      <c r="M248" s="91">
        <v>0.0002143704974945033</v>
      </c>
      <c r="N248" s="91">
        <v>0.00012219794825956792</v>
      </c>
      <c r="O248" s="91">
        <v>4.3411332947612936E-05</v>
      </c>
      <c r="P248" s="91">
        <v>-2.6365631335647237E-18</v>
      </c>
      <c r="Q248" s="91">
        <v>-1.4604744585665625E-18</v>
      </c>
      <c r="R248" s="91">
        <v>-1.4718282678908883E-18</v>
      </c>
      <c r="S248" s="91">
        <v>1.194841906933472E-19</v>
      </c>
      <c r="T248" s="91">
        <v>0</v>
      </c>
      <c r="U248" s="91">
        <v>0</v>
      </c>
      <c r="W248" s="93">
        <f t="shared" si="57"/>
        <v>14</v>
      </c>
      <c r="X248" s="92">
        <f>Data_File!G41</f>
        <v>7.717035822520867</v>
      </c>
      <c r="Z248" s="93">
        <f t="shared" si="58"/>
        <v>14</v>
      </c>
      <c r="AA248" s="91">
        <v>0.03269756958310217</v>
      </c>
    </row>
    <row r="249" spans="1:27" ht="12.75">
      <c r="A249" s="93">
        <f t="shared" si="56"/>
        <v>15</v>
      </c>
      <c r="B249" s="91">
        <v>0.012609576001627543</v>
      </c>
      <c r="C249" s="91">
        <v>0.006254068456809421</v>
      </c>
      <c r="D249" s="91">
        <v>0.004307614130298268</v>
      </c>
      <c r="E249" s="91">
        <v>0.0035980216983612476</v>
      </c>
      <c r="F249" s="91">
        <v>0.0032920357795860637</v>
      </c>
      <c r="G249" s="91">
        <v>0.003157326276925707</v>
      </c>
      <c r="H249" s="91">
        <v>0.0030828601639300048</v>
      </c>
      <c r="I249" s="91">
        <v>0.003012515091570152</v>
      </c>
      <c r="J249" s="91">
        <v>0.0028910752044336843</v>
      </c>
      <c r="K249" s="91">
        <v>0.002710579267070411</v>
      </c>
      <c r="L249" s="91">
        <v>0.002410730914011185</v>
      </c>
      <c r="M249" s="91">
        <v>0.0019972954266487607</v>
      </c>
      <c r="N249" s="91">
        <v>0.0014656161245277044</v>
      </c>
      <c r="O249" s="91">
        <v>0.0008722293903989152</v>
      </c>
      <c r="P249" s="91">
        <v>0.0003287869307400425</v>
      </c>
      <c r="Q249" s="91">
        <v>-2.1107413651093146E-18</v>
      </c>
      <c r="R249" s="91">
        <v>-2.1532068930203415E-18</v>
      </c>
      <c r="S249" s="91">
        <v>1.289884420561328E-20</v>
      </c>
      <c r="T249" s="91">
        <v>0</v>
      </c>
      <c r="U249" s="91">
        <v>0</v>
      </c>
      <c r="W249" s="93">
        <f t="shared" si="57"/>
        <v>15</v>
      </c>
      <c r="X249" s="92">
        <f>Data_File!G42</f>
        <v>5.749988215490674</v>
      </c>
      <c r="Z249" s="93">
        <f t="shared" si="58"/>
        <v>15</v>
      </c>
      <c r="AA249" s="91">
        <v>0.20798448933314234</v>
      </c>
    </row>
    <row r="250" spans="1:27" ht="12.75">
      <c r="A250" s="93">
        <f t="shared" si="56"/>
        <v>16</v>
      </c>
      <c r="B250" s="91">
        <v>0.02571235658761295</v>
      </c>
      <c r="C250" s="91">
        <v>0.017233194170915025</v>
      </c>
      <c r="D250" s="91">
        <v>0.013804709165011052</v>
      </c>
      <c r="E250" s="91">
        <v>0.01239583038995702</v>
      </c>
      <c r="F250" s="91">
        <v>0.011812663483958843</v>
      </c>
      <c r="G250" s="91">
        <v>0.011638703898955702</v>
      </c>
      <c r="H250" s="91">
        <v>0.01163520794191509</v>
      </c>
      <c r="I250" s="91">
        <v>0.01166308853796073</v>
      </c>
      <c r="J250" s="91">
        <v>0.011594994917535413</v>
      </c>
      <c r="K250" s="91">
        <v>0.01137673004105981</v>
      </c>
      <c r="L250" s="91">
        <v>0.010828540444629388</v>
      </c>
      <c r="M250" s="91">
        <v>0.009893577346045596</v>
      </c>
      <c r="N250" s="91">
        <v>0.008441573109720898</v>
      </c>
      <c r="O250" s="91">
        <v>0.006458083021879574</v>
      </c>
      <c r="P250" s="91">
        <v>0.0040642128661899785</v>
      </c>
      <c r="Q250" s="91">
        <v>0.0016567617824464465</v>
      </c>
      <c r="R250" s="91">
        <v>-3.5629998645166634E-18</v>
      </c>
      <c r="S250" s="91">
        <v>-6.212379090275745E-19</v>
      </c>
      <c r="T250" s="91">
        <v>0</v>
      </c>
      <c r="U250" s="91">
        <v>0</v>
      </c>
      <c r="W250" s="93">
        <f t="shared" si="57"/>
        <v>16</v>
      </c>
      <c r="X250" s="92">
        <f>Data_File!G43</f>
        <v>3.9055221861070226</v>
      </c>
      <c r="Z250" s="93">
        <f t="shared" si="58"/>
        <v>16</v>
      </c>
      <c r="AA250" s="91">
        <v>0.8581275909146748</v>
      </c>
    </row>
    <row r="251" spans="1:27" ht="12.75">
      <c r="A251" s="93">
        <f t="shared" si="56"/>
        <v>17</v>
      </c>
      <c r="B251" s="91">
        <v>0.042812337933286704</v>
      </c>
      <c r="C251" s="91">
        <v>0.03472876155465485</v>
      </c>
      <c r="D251" s="91">
        <v>0.03071170776953358</v>
      </c>
      <c r="E251" s="91">
        <v>0.02898620640876011</v>
      </c>
      <c r="F251" s="91">
        <v>0.02840016445813389</v>
      </c>
      <c r="G251" s="91">
        <v>0.028474499666427913</v>
      </c>
      <c r="H251" s="91">
        <v>0.028886418074121636</v>
      </c>
      <c r="I251" s="91">
        <v>0.029420959317631223</v>
      </c>
      <c r="J251" s="91">
        <v>0.029929310850779725</v>
      </c>
      <c r="K251" s="91">
        <v>0.03026739221582432</v>
      </c>
      <c r="L251" s="91">
        <v>0.03016130452077058</v>
      </c>
      <c r="M251" s="91">
        <v>0.029422005096810512</v>
      </c>
      <c r="N251" s="91">
        <v>0.02766855912809458</v>
      </c>
      <c r="O251" s="91">
        <v>0.02455991079566445</v>
      </c>
      <c r="P251" s="91">
        <v>0.019790945887498593</v>
      </c>
      <c r="Q251" s="91">
        <v>0.013348735375871364</v>
      </c>
      <c r="R251" s="91">
        <v>0.006026611407422092</v>
      </c>
      <c r="S251" s="91">
        <v>-2.4403933765949748E-18</v>
      </c>
      <c r="T251" s="91">
        <v>0</v>
      </c>
      <c r="U251" s="91">
        <v>0</v>
      </c>
      <c r="W251" s="93">
        <f t="shared" si="57"/>
        <v>17</v>
      </c>
      <c r="X251" s="92">
        <f>Data_File!G44</f>
        <v>2.585390455427385</v>
      </c>
      <c r="Z251" s="93">
        <f t="shared" si="58"/>
        <v>17</v>
      </c>
      <c r="AA251" s="91">
        <v>2.3855502484250013</v>
      </c>
    </row>
    <row r="252" spans="1:27" ht="12.75">
      <c r="A252" s="93">
        <f t="shared" si="56"/>
        <v>18</v>
      </c>
      <c r="B252" s="91">
        <v>0.05891844721008721</v>
      </c>
      <c r="C252" s="91">
        <v>0.05393148804599307</v>
      </c>
      <c r="D252" s="91">
        <v>0.05089289392270838</v>
      </c>
      <c r="E252" s="91">
        <v>0.0496567663030803</v>
      </c>
      <c r="F252" s="91">
        <v>0.0495161961266595</v>
      </c>
      <c r="G252" s="91">
        <v>0.050127994567200046</v>
      </c>
      <c r="H252" s="91">
        <v>0.05121923455598071</v>
      </c>
      <c r="I252" s="91">
        <v>0.05257866631842284</v>
      </c>
      <c r="J252" s="91">
        <v>0.054165926455047336</v>
      </c>
      <c r="K252" s="91">
        <v>0.055763513779695906</v>
      </c>
      <c r="L252" s="91">
        <v>0.05719688813736862</v>
      </c>
      <c r="M252" s="91">
        <v>0.05821146449659237</v>
      </c>
      <c r="N252" s="91">
        <v>0.05831412170074188</v>
      </c>
      <c r="O252" s="91">
        <v>0.056851245973231115</v>
      </c>
      <c r="P252" s="91">
        <v>0.05289829763589711</v>
      </c>
      <c r="Q252" s="91">
        <v>0.0453300526352009</v>
      </c>
      <c r="R252" s="91">
        <v>0.03326112675860066</v>
      </c>
      <c r="S252" s="91">
        <v>0.016897157455523205</v>
      </c>
      <c r="T252" s="91">
        <v>0</v>
      </c>
      <c r="U252" s="91">
        <v>0</v>
      </c>
      <c r="W252" s="93">
        <f t="shared" si="57"/>
        <v>18</v>
      </c>
      <c r="X252" s="92">
        <f>Data_File!G45</f>
        <v>1.7780521013382948</v>
      </c>
      <c r="Z252" s="93">
        <f t="shared" si="58"/>
        <v>18</v>
      </c>
      <c r="AA252" s="91">
        <v>4.726653232493082</v>
      </c>
    </row>
    <row r="253" spans="1:27" ht="12.75">
      <c r="A253" s="93">
        <f t="shared" si="56"/>
        <v>19</v>
      </c>
      <c r="B253" s="91">
        <v>0.0668945768564918</v>
      </c>
      <c r="C253" s="91">
        <v>0.06598908229093803</v>
      </c>
      <c r="D253" s="91">
        <v>0.06490343104347829</v>
      </c>
      <c r="E253" s="91">
        <v>0.06465211599332843</v>
      </c>
      <c r="F253" s="91">
        <v>0.06509045076262082</v>
      </c>
      <c r="G253" s="91">
        <v>0.06611861290719312</v>
      </c>
      <c r="H253" s="91">
        <v>0.06762394503018815</v>
      </c>
      <c r="I253" s="91">
        <v>0.0694893343849069</v>
      </c>
      <c r="J253" s="91">
        <v>0.0718503186048764</v>
      </c>
      <c r="K253" s="91">
        <v>0.07450546401656627</v>
      </c>
      <c r="L253" s="91">
        <v>0.07755226651987357</v>
      </c>
      <c r="M253" s="91">
        <v>0.08085048267562084</v>
      </c>
      <c r="N253" s="91">
        <v>0.08415260920424511</v>
      </c>
      <c r="O253" s="91">
        <v>0.08695295399970449</v>
      </c>
      <c r="P253" s="91">
        <v>0.08833057349238926</v>
      </c>
      <c r="Q253" s="91">
        <v>0.0867224217602991</v>
      </c>
      <c r="R253" s="91">
        <v>0.07975639213199703</v>
      </c>
      <c r="S253" s="91">
        <v>0.06418366138983611</v>
      </c>
      <c r="T253" s="91">
        <v>0.03794511939039475</v>
      </c>
      <c r="U253" s="91">
        <v>0</v>
      </c>
      <c r="W253" s="93">
        <f t="shared" si="57"/>
        <v>19</v>
      </c>
      <c r="X253" s="92">
        <f>Data_File!G46</f>
        <v>1.209752985046892</v>
      </c>
      <c r="Z253" s="93">
        <f t="shared" si="58"/>
        <v>19</v>
      </c>
      <c r="AA253" s="91">
        <v>6.8388577380231075</v>
      </c>
    </row>
    <row r="254" spans="1:27" ht="12.75">
      <c r="A254" s="93">
        <f t="shared" si="56"/>
        <v>20</v>
      </c>
      <c r="B254" s="91">
        <v>0.7830879740683668</v>
      </c>
      <c r="C254" s="91">
        <v>0.8198777852511352</v>
      </c>
      <c r="D254" s="91">
        <v>0.8343846623534401</v>
      </c>
      <c r="E254" s="91">
        <v>0.8399770893539071</v>
      </c>
      <c r="F254" s="91">
        <v>0.8412601852690517</v>
      </c>
      <c r="G254" s="91">
        <v>0.8399064074744667</v>
      </c>
      <c r="H254" s="91">
        <v>0.8370110826285472</v>
      </c>
      <c r="I254" s="91">
        <v>0.8333283036576415</v>
      </c>
      <c r="J254" s="91">
        <v>0.8291086294383951</v>
      </c>
      <c r="K254" s="91">
        <v>0.824975729443584</v>
      </c>
      <c r="L254" s="91">
        <v>0.8215310389994415</v>
      </c>
      <c r="M254" s="91">
        <v>0.8194005987945039</v>
      </c>
      <c r="N254" s="91">
        <v>0.8198319076107833</v>
      </c>
      <c r="O254" s="91">
        <v>0.8242621654861788</v>
      </c>
      <c r="P254" s="91">
        <v>0.8345871831872882</v>
      </c>
      <c r="Q254" s="91">
        <v>0.8529420284461833</v>
      </c>
      <c r="R254" s="91">
        <v>0.8809558697019801</v>
      </c>
      <c r="S254" s="91">
        <v>0.9189191811546404</v>
      </c>
      <c r="T254" s="91">
        <v>0.9620548806096052</v>
      </c>
      <c r="U254" s="91">
        <v>1</v>
      </c>
      <c r="W254" s="93">
        <f t="shared" si="57"/>
        <v>20</v>
      </c>
      <c r="X254" s="92">
        <f>Data_File!G47</f>
        <v>8.738997608618192</v>
      </c>
      <c r="Z254" s="93">
        <f t="shared" si="58"/>
        <v>20</v>
      </c>
      <c r="AA254" s="91">
        <v>84.94657295365127</v>
      </c>
    </row>
    <row r="256" spans="24:27" ht="12.75">
      <c r="X256" s="92">
        <f>SUM(X235:X254)</f>
        <v>100</v>
      </c>
      <c r="AA256" s="92">
        <f>SUM(AA235:AA254)</f>
        <v>99.99999999999724</v>
      </c>
    </row>
  </sheetData>
  <sheetProtection password="CD50" sheet="1" objects="1" scenarios="1"/>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E. Sepúlveda</dc:creator>
  <cp:keywords/>
  <dc:description/>
  <cp:lastModifiedBy>lguzman</cp:lastModifiedBy>
  <cp:lastPrinted>2006-09-20T15:54:05Z</cp:lastPrinted>
  <dcterms:created xsi:type="dcterms:W3CDTF">1998-09-18T01:11:39Z</dcterms:created>
  <dcterms:modified xsi:type="dcterms:W3CDTF">2011-03-07T16:47:59Z</dcterms:modified>
  <cp:category/>
  <cp:version/>
  <cp:contentType/>
  <cp:contentStatus/>
</cp:coreProperties>
</file>